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5205" windowHeight="3780" activeTab="5"/>
  </bookViews>
  <sheets>
    <sheet name="Input" sheetId="1" r:id="rId1"/>
    <sheet name="Output" sheetId="2" r:id="rId2"/>
    <sheet name="Comparison Page" sheetId="3" r:id="rId3"/>
    <sheet name="Time" sheetId="4" r:id="rId4"/>
    <sheet name="Materials" sheetId="5" r:id="rId5"/>
    <sheet name="Cost" sheetId="6" r:id="rId6"/>
    <sheet name="Cost Variables" sheetId="7" r:id="rId7"/>
  </sheets>
  <definedNames>
    <definedName name="Deterioration">#REF!</definedName>
    <definedName name="FinalCost">#REF!</definedName>
    <definedName name="_xlnm.Print_Area" localSheetId="0">'Input'!$A$1:$E$58</definedName>
    <definedName name="_xlnm.Print_Area" localSheetId="1">'Output'!$A$1:$G$51</definedName>
    <definedName name="SFofBridge">#REF!</definedName>
    <definedName name="Z_96803A00_D684_11D4_8E1B_00104BF609C5_.wvu.PrintArea" localSheetId="1" hidden="1">'Output'!$A$1:$G$51</definedName>
    <definedName name="Z_96803A00_D684_11D4_8E1B_00104BF609C5_.wvu.Rows" localSheetId="0" hidden="1">'Input'!$66:$80</definedName>
    <definedName name="Z_96803A00_D684_11D4_8E1B_00104BF609C5_.wvu.Rows" localSheetId="1" hidden="1">'Output'!$60:$90</definedName>
  </definedNames>
  <calcPr fullCalcOnLoad="1"/>
</workbook>
</file>

<file path=xl/comments4.xml><?xml version="1.0" encoding="utf-8"?>
<comments xmlns="http://schemas.openxmlformats.org/spreadsheetml/2006/main">
  <authors>
    <author>Chris Farschon</author>
  </authors>
  <commentList>
    <comment ref="B65" authorId="0">
      <text>
        <r>
          <rPr>
            <b/>
            <sz val="8"/>
            <rFont val="Tahoma"/>
            <family val="0"/>
          </rPr>
          <t>Chris Farschon:</t>
        </r>
        <r>
          <rPr>
            <sz val="8"/>
            <rFont val="Tahoma"/>
            <family val="0"/>
          </rPr>
          <t xml:space="preserve">
This is scaled up based on ratio of # painters to total crew size</t>
        </r>
      </text>
    </comment>
  </commentList>
</comments>
</file>

<file path=xl/sharedStrings.xml><?xml version="1.0" encoding="utf-8"?>
<sst xmlns="http://schemas.openxmlformats.org/spreadsheetml/2006/main" count="584" uniqueCount="460">
  <si>
    <t>Spot Prep</t>
  </si>
  <si>
    <t>Full Removal</t>
  </si>
  <si>
    <t xml:space="preserve"> </t>
  </si>
  <si>
    <t>Painting</t>
  </si>
  <si>
    <t>Staging</t>
  </si>
  <si>
    <t>Custom</t>
  </si>
  <si>
    <t>Modular</t>
  </si>
  <si>
    <t>Lift Trucks</t>
  </si>
  <si>
    <t>Containment</t>
  </si>
  <si>
    <t>Days</t>
  </si>
  <si>
    <t>Paint</t>
  </si>
  <si>
    <t>Water</t>
  </si>
  <si>
    <t>Fuel</t>
  </si>
  <si>
    <t>Mob/Demob</t>
  </si>
  <si>
    <t>Insurance</t>
  </si>
  <si>
    <t>Profit</t>
  </si>
  <si>
    <t>Total</t>
  </si>
  <si>
    <t>Logic</t>
  </si>
  <si>
    <t>Crew Size</t>
  </si>
  <si>
    <t>Crew Days</t>
  </si>
  <si>
    <t>Hours/Day</t>
  </si>
  <si>
    <t>Forman</t>
  </si>
  <si>
    <t>Blaster/Painter</t>
  </si>
  <si>
    <t>Helper</t>
  </si>
  <si>
    <t>Length</t>
  </si>
  <si>
    <t>Width</t>
  </si>
  <si>
    <t>Full/Spot Removal</t>
  </si>
  <si>
    <t>Project days</t>
  </si>
  <si>
    <t>Steel Grit</t>
  </si>
  <si>
    <t>Gal/day</t>
  </si>
  <si>
    <t>Fuel Total</t>
  </si>
  <si>
    <t>Safe Span</t>
  </si>
  <si>
    <t>$/month</t>
  </si>
  <si>
    <t>Subtotal</t>
  </si>
  <si>
    <t>units</t>
  </si>
  <si>
    <t>$/unit</t>
  </si>
  <si>
    <t>$/day</t>
  </si>
  <si>
    <t>Total Cost</t>
  </si>
  <si>
    <t>Post Site Assessment</t>
  </si>
  <si>
    <t>Washing</t>
  </si>
  <si>
    <t>4kpsi</t>
  </si>
  <si>
    <t>$/SF</t>
  </si>
  <si>
    <t>Removal Logic</t>
  </si>
  <si>
    <t>Total Water</t>
  </si>
  <si>
    <t>Spot/Sweep</t>
  </si>
  <si>
    <t>Grit with Blastox</t>
  </si>
  <si>
    <t>Pretox</t>
  </si>
  <si>
    <t>Blastox</t>
  </si>
  <si>
    <t>Cost Breakdown</t>
  </si>
  <si>
    <t>Lead in coating</t>
  </si>
  <si>
    <t>Airless Spray (regular)</t>
  </si>
  <si>
    <t>Vacuum Truck</t>
  </si>
  <si>
    <t>Rapid Deployment</t>
  </si>
  <si>
    <t>Stripe Coat</t>
  </si>
  <si>
    <t>size</t>
  </si>
  <si>
    <t>8 months</t>
  </si>
  <si>
    <t>9-16 months</t>
  </si>
  <si>
    <t>17+ months</t>
  </si>
  <si>
    <t>&lt;50,000</t>
  </si>
  <si>
    <t>50,000-99,999</t>
  </si>
  <si>
    <t>&gt;100,000</t>
  </si>
  <si>
    <t>$/SF/Month</t>
  </si>
  <si>
    <t>Dehumidification</t>
  </si>
  <si>
    <t>Project Days</t>
  </si>
  <si>
    <t>Project Months</t>
  </si>
  <si>
    <t>Topcoats</t>
  </si>
  <si>
    <t>Primer</t>
  </si>
  <si>
    <t>Input</t>
  </si>
  <si>
    <t>Tons of Paint</t>
  </si>
  <si>
    <t>Materials</t>
  </si>
  <si>
    <t>Units Needed</t>
  </si>
  <si>
    <t>Chart for SafeSpan Pricing</t>
  </si>
  <si>
    <t>Average Labor Rate</t>
  </si>
  <si>
    <t>Gal/ft2</t>
  </si>
  <si>
    <t>Man-Hours for Project</t>
  </si>
  <si>
    <t>Cost Model Input Page</t>
  </si>
  <si>
    <t>Item</t>
  </si>
  <si>
    <t>Description</t>
  </si>
  <si>
    <t>Equipment Costs</t>
  </si>
  <si>
    <t>percent deteriorated</t>
  </si>
  <si>
    <t>The number of crew foremen working this project.  Typically one.</t>
  </si>
  <si>
    <t>The total number of blasters and painters working this project.  Typically four to six.</t>
  </si>
  <si>
    <t>The total number of helpers or apprentice workers for this project.  Typically one to three.</t>
  </si>
  <si>
    <t>Select if the contained area will be dehumidified.</t>
  </si>
  <si>
    <t>Select if a rapid deployment set-up and schedule are to be used.</t>
  </si>
  <si>
    <t>Preparation Method</t>
  </si>
  <si>
    <t>Production Rate</t>
  </si>
  <si>
    <t xml:space="preserve">Full Removal Surface Preparation </t>
  </si>
  <si>
    <t>Select a single surface preparation method from the choices below.  Each option has an associated production rate.</t>
  </si>
  <si>
    <t>Spot-Sweep Surface Preparation</t>
  </si>
  <si>
    <t>Select if lead is in the coating and an abrasive additive will be used.</t>
  </si>
  <si>
    <t>Benchmark removal method for this study.  Common removal rate is 100 SF/MH.  Typical range may be from 50 to 250 SF/MH.</t>
  </si>
  <si>
    <t>Ultra-High pressure water jetting using hand held lances.  Rate of 100 SF/MH is an average of 3 site visits. Typical range may be from 75 to 150 SF/MH.</t>
  </si>
  <si>
    <t>Staging/Containment Options</t>
  </si>
  <si>
    <t>Select a single staging and containment option from the choices below.  Each option has an associated speed factor and cost factor.</t>
  </si>
  <si>
    <t>Staging/Containment Option</t>
  </si>
  <si>
    <t>Coating Application Options</t>
  </si>
  <si>
    <t>Application Option</t>
  </si>
  <si>
    <t>Coating System Options</t>
  </si>
  <si>
    <t xml:space="preserve">Select a single Coating System from the choices below.  </t>
  </si>
  <si>
    <t>Coating System Type</t>
  </si>
  <si>
    <t>Time Calculations</t>
  </si>
  <si>
    <t>Materials Calculations</t>
  </si>
  <si>
    <t>Cost Calculations</t>
  </si>
  <si>
    <t>Bridge Square Footage</t>
  </si>
  <si>
    <t>Dust Collector</t>
  </si>
  <si>
    <t>Ark Overpass Master</t>
  </si>
  <si>
    <t>Initial Cost</t>
  </si>
  <si>
    <t>Discount Rate</t>
  </si>
  <si>
    <t>Cost per year</t>
  </si>
  <si>
    <t>Cost per month (9 month year)</t>
  </si>
  <si>
    <t>Airless (high solids)</t>
  </si>
  <si>
    <t>Moister Separator</t>
  </si>
  <si>
    <t>WJ Crawler/w vac.</t>
  </si>
  <si>
    <t>Generator (100 kW)</t>
  </si>
  <si>
    <t>Convention Sprayer</t>
  </si>
  <si>
    <t>D/H Unit</t>
  </si>
  <si>
    <t>Service Life (yrs)</t>
  </si>
  <si>
    <t>A variable input parameter</t>
  </si>
  <si>
    <t>An input selection</t>
  </si>
  <si>
    <t>The weighted average hourly labor rate for the total of all Foremen, Painters, and Helpers.  This varies by region within the United States.  Enter 26.00 as an approximate median number.</t>
  </si>
  <si>
    <t>Select if a pre-wash of the bridge is required prior to additional surface preparation.  This is a low pressure (&lt;5,000 psi) wash with water collection and disposal.</t>
  </si>
  <si>
    <t>Hours per location</t>
  </si>
  <si>
    <t>Selection Lists</t>
  </si>
  <si>
    <t>Yes</t>
  </si>
  <si>
    <t>No</t>
  </si>
  <si>
    <t>result</t>
  </si>
  <si>
    <t>Br Length</t>
  </si>
  <si>
    <t>Br Width</t>
  </si>
  <si>
    <t>Critical SF</t>
  </si>
  <si>
    <t>SF to bare metal</t>
  </si>
  <si>
    <t>Non Critical SF</t>
  </si>
  <si>
    <t>1.  Once Through Abrasive</t>
  </si>
  <si>
    <t>3.  Recyclable Steel Grit</t>
  </si>
  <si>
    <t>2.  ElectroStrip</t>
  </si>
  <si>
    <t>4.  Water Jetting</t>
  </si>
  <si>
    <t>5.  Grit Injected Water Jetting</t>
  </si>
  <si>
    <t>6.  Torbo Wetblast System</t>
  </si>
  <si>
    <t>0.  Spot-Sweep Preparation</t>
  </si>
  <si>
    <t>0.  Full Removal Preparation</t>
  </si>
  <si>
    <t>1.  Hand Tool Cleaning</t>
  </si>
  <si>
    <t>2.  Water Jetting</t>
  </si>
  <si>
    <t>3.  Brush Blast (expendable grit)</t>
  </si>
  <si>
    <t>4.  Grit Injected Water Jetting</t>
  </si>
  <si>
    <t>5.  Recyclable Steel Grit</t>
  </si>
  <si>
    <t>7.  Vacuum Blasting</t>
  </si>
  <si>
    <t>1.  Lift Trucks</t>
  </si>
  <si>
    <t>2.  Safe-Span Platform</t>
  </si>
  <si>
    <t>3.  Suspended Rigid Platform</t>
  </si>
  <si>
    <t>4.  ARK Mobile Platform System</t>
  </si>
  <si>
    <t>1.  Three Coat System</t>
  </si>
  <si>
    <t>2.  Two Coat System</t>
  </si>
  <si>
    <t xml:space="preserve">1.  Brush </t>
  </si>
  <si>
    <t>2.  Roller</t>
  </si>
  <si>
    <t>3.  Conv Spray</t>
  </si>
  <si>
    <t>4.  Airless Spray</t>
  </si>
  <si>
    <t>Other Back-up notes:</t>
  </si>
  <si>
    <t>The spot prep waterjetting production follows the formula "SF/Hr = 0.019*%Deterioration^2-2.6371*%Deterioration+197.2"</t>
  </si>
  <si>
    <t>Water jetting spot prep production</t>
  </si>
  <si>
    <t>SF/Hr</t>
  </si>
  <si>
    <t>% Deterioration</t>
  </si>
  <si>
    <t>Rapid deployment crew days are 85% of Bridge area divided by (2.5 / RSG production * # blasters)</t>
  </si>
  <si>
    <t>Pretox Application Rate</t>
  </si>
  <si>
    <t>Stripe Coat Production Rate</t>
  </si>
  <si>
    <t>Edges in SF shown / Hr</t>
  </si>
  <si>
    <t>Lift Truck Deck Area</t>
  </si>
  <si>
    <t>SF</t>
  </si>
  <si>
    <t>Staging Deck Area</t>
  </si>
  <si>
    <t>%-age</t>
  </si>
  <si>
    <t>ARK system Deck Area</t>
  </si>
  <si>
    <t>Once Through Slag usage rate</t>
  </si>
  <si>
    <t>UHP water usage rate</t>
  </si>
  <si>
    <t>LPWC usage rate</t>
  </si>
  <si>
    <t>gal/SF</t>
  </si>
  <si>
    <t>Water with Grit injection - Water use</t>
  </si>
  <si>
    <t>Water with Grit injection - Grit use</t>
  </si>
  <si>
    <t>Grit blast with Water injection - Grit use</t>
  </si>
  <si>
    <t>Grit blast with Water injection - Water use</t>
  </si>
  <si>
    <t>LPWC Production Rate</t>
  </si>
  <si>
    <t>GPM</t>
  </si>
  <si>
    <t>gal/SF spot work</t>
  </si>
  <si>
    <t>Pretox usage rate</t>
  </si>
  <si>
    <t>Paint usage rate</t>
  </si>
  <si>
    <t>Fuel usage rate</t>
  </si>
  <si>
    <t>SF/gal</t>
  </si>
  <si>
    <t>gal/day</t>
  </si>
  <si>
    <t>Misc. Hand Tools</t>
  </si>
  <si>
    <t>Material Costs</t>
  </si>
  <si>
    <t>Slag Grit</t>
  </si>
  <si>
    <t>Other Misc. Items</t>
  </si>
  <si>
    <t>LPWC Washing</t>
  </si>
  <si>
    <t>Crit + Non-Crit Areas</t>
  </si>
  <si>
    <t>3-coat</t>
  </si>
  <si>
    <t>2-coat</t>
  </si>
  <si>
    <t>Primer over bare metal plus two full coats</t>
  </si>
  <si>
    <t>Primer over bare metal plus one full coat</t>
  </si>
  <si>
    <t>Select if a stripe coat is applied (default is yes)</t>
  </si>
  <si>
    <t>abutment staging w/ lift trucks</t>
  </si>
  <si>
    <t>abutment staging w/ ARK platforms</t>
  </si>
  <si>
    <t>Spot Prep - hand/vacuum - from lift truck</t>
  </si>
  <si>
    <t>hrs/move</t>
  </si>
  <si>
    <t xml:space="preserve">Full removal - wet methods - from lift truck </t>
  </si>
  <si>
    <t>The vacuum blasting spot prep production formula is "=(bridge SF*(% deteriorated/100))/vac blast production rate".  This reduces the vac blast SF to the spot deterioration only.</t>
  </si>
  <si>
    <t>The production rates for SPOT brush blast and grit injected are (18.94*% area deteriorated)</t>
  </si>
  <si>
    <t>Brush blast and grit injection SPOT prep production</t>
  </si>
  <si>
    <t>5 days of mob/demob for entire crew</t>
  </si>
  <si>
    <t>Surface Preparation Materials</t>
  </si>
  <si>
    <t>Coatings, Fuel and Residual Waste Materials</t>
  </si>
  <si>
    <t>Material (Tons)</t>
  </si>
  <si>
    <t>Material (Gallons)</t>
  </si>
  <si>
    <t>Grit in Water/Grit</t>
  </si>
  <si>
    <t>Grit in Grit/Water</t>
  </si>
  <si>
    <t>Water in Water/Grit</t>
  </si>
  <si>
    <t>Water in Grit/Water</t>
  </si>
  <si>
    <t>Abrasives</t>
  </si>
  <si>
    <t>UHP Water Jetting</t>
  </si>
  <si>
    <t>Tons required</t>
  </si>
  <si>
    <t>Gallons required</t>
  </si>
  <si>
    <t>Recyclable Steel Grit Rig - 4 outlet</t>
  </si>
  <si>
    <t>UHP (10 GPM) - 2 outlet</t>
  </si>
  <si>
    <t>UHP (6 GPM) - 2 outlet</t>
  </si>
  <si>
    <t>Grit Blast Rig - 4 outlet</t>
  </si>
  <si>
    <t>AIWB (Grit Injection Rig) - 2 outlet</t>
  </si>
  <si>
    <t>Torbo System - single outlet</t>
  </si>
  <si>
    <t>Water Washing - 4 outlet</t>
  </si>
  <si>
    <t>Vacuum Blast grit use rate</t>
  </si>
  <si>
    <t>Vacuum Blast Grit</t>
  </si>
  <si>
    <t>SF to Paint</t>
  </si>
  <si>
    <t>Gals Required</t>
  </si>
  <si>
    <t>Material Required (gallons)</t>
  </si>
  <si>
    <t>Coatings</t>
  </si>
  <si>
    <t>percent</t>
  </si>
  <si>
    <t>The ideal spreading rate at the specified WFT</t>
  </si>
  <si>
    <t>For all equipment at the jobsite</t>
  </si>
  <si>
    <t>Average needed to clean each SF</t>
  </si>
  <si>
    <t>Typical values are 80 to 95% - default is 100%</t>
  </si>
  <si>
    <t>Typical values are 80 to 90% - default is 100%</t>
  </si>
  <si>
    <t>Typical values are 65 to 80% - default is 100%</t>
  </si>
  <si>
    <t>Typical values are 70 to 85% - default is 100%</t>
  </si>
  <si>
    <t>Application Method</t>
  </si>
  <si>
    <t>Airless</t>
  </si>
  <si>
    <t>Spread Rate SF / Gal</t>
  </si>
  <si>
    <t>Brush</t>
  </si>
  <si>
    <t>Roll</t>
  </si>
  <si>
    <t>Conventional</t>
  </si>
  <si>
    <t>Days Required</t>
  </si>
  <si>
    <t>Existing Paint DFT</t>
  </si>
  <si>
    <t>mils</t>
  </si>
  <si>
    <t>Thickness of the existing paint to be removed.  Default value is 15 mils.</t>
  </si>
  <si>
    <t>ratio</t>
  </si>
  <si>
    <t>Paint Waste Genrtd</t>
  </si>
  <si>
    <t>Existing DFT</t>
  </si>
  <si>
    <t>Cu Ft to Remove</t>
  </si>
  <si>
    <t>PreTox dry density</t>
  </si>
  <si>
    <t>density of dried Pretox used in waste tonnage calculation.</t>
  </si>
  <si>
    <t>Pretox Waste Gnrtd</t>
  </si>
  <si>
    <t>gal used</t>
  </si>
  <si>
    <t>density</t>
  </si>
  <si>
    <t>tons</t>
  </si>
  <si>
    <t>Total Solid Waste Generated</t>
  </si>
  <si>
    <t>Total Liquid Waste Generated</t>
  </si>
  <si>
    <t>gallons</t>
  </si>
  <si>
    <t>Equipment Name</t>
  </si>
  <si>
    <t>Materials Costs</t>
  </si>
  <si>
    <t>Disposal Costs</t>
  </si>
  <si>
    <t>Labor Costs</t>
  </si>
  <si>
    <t>Staging/Containment Costs</t>
  </si>
  <si>
    <t>Notes</t>
  </si>
  <si>
    <t>ElectroStrip Machine</t>
  </si>
  <si>
    <t>Blast Hoods B-88's</t>
  </si>
  <si>
    <t>cost/unit</t>
  </si>
  <si>
    <t>unit</t>
  </si>
  <si>
    <t>Ton</t>
  </si>
  <si>
    <t>Gallon</t>
  </si>
  <si>
    <t>Day (misc. sundries each day)</t>
  </si>
  <si>
    <t>Equipment Sizing</t>
  </si>
  <si>
    <t>Time Required to move Containment</t>
  </si>
  <si>
    <t>Pre-Existing Conditions</t>
  </si>
  <si>
    <t>Full removal - dry methods - from lift truck</t>
  </si>
  <si>
    <t>Full removal - wet methods - from lift truck</t>
  </si>
  <si>
    <t>Material Use/Application Rates</t>
  </si>
  <si>
    <t>Painting Transfer Efficiencies</t>
  </si>
  <si>
    <t>Crew days calculation takes total man-hours for an activity an divides by hours/day minus 2.5 times the number of painters.  This calculation is rounded up.  The 2.5 is a given # of hours/day where no production work is happening.</t>
  </si>
  <si>
    <t>Crew days for staging and containment include the entire crew working, not just number of painters as with production work operations</t>
  </si>
  <si>
    <t>scaled to include frequent tool replacement</t>
  </si>
  <si>
    <t>% Area Inaccessible to LT or ARK</t>
  </si>
  <si>
    <t>Existing Paint Specific Gravity</t>
  </si>
  <si>
    <t>Specific gravity of the existing coating to be removed.  Typical values range from 1.8 to 2.8.  Default is 2.5</t>
  </si>
  <si>
    <t>lb./gal</t>
  </si>
  <si>
    <t>RSG usage rate</t>
  </si>
  <si>
    <t>lb./SF</t>
  </si>
  <si>
    <t>This is the average RSG consumption rate for the project NOT the amount needed to clean each SF.  If new RSG is specified for a project this should be higher, if new RSG is not specified .5 lb./SF is an accurate number.</t>
  </si>
  <si>
    <t>gal/SF full removal</t>
  </si>
  <si>
    <t>This is the grit consumption rate for the project NOT the amount needed to clean each SF.  If new grit is specified increase this amount, otherwise 1 lb./SF is a reasonable average consumption.</t>
  </si>
  <si>
    <t>Lead Health and Safety Costs</t>
  </si>
  <si>
    <t>Surface Preparation Equipment Costs</t>
  </si>
  <si>
    <t>Required Logic</t>
  </si>
  <si>
    <t>Number Months Required</t>
  </si>
  <si>
    <t>Number Units Needed</t>
  </si>
  <si>
    <t>Cost</t>
  </si>
  <si>
    <t>N/A</t>
  </si>
  <si>
    <t>Platform to supplement LT or ARK (1$/SF)</t>
  </si>
  <si>
    <t>Plywood Platform Staging</t>
  </si>
  <si>
    <t>SafeSpan System</t>
  </si>
  <si>
    <t>Time subtotals for equipment applicable to multiple scenarios:</t>
  </si>
  <si>
    <t>Days / month used to cost out equip.</t>
  </si>
  <si>
    <t>Default is 16.  If the equipment is used more than this many days per month, and additional month's cost is added.</t>
  </si>
  <si>
    <t>Rigid platform staging (plywood)</t>
  </si>
  <si>
    <t>Total Materials</t>
  </si>
  <si>
    <t>Equipment Cost Subtotal</t>
  </si>
  <si>
    <t>Staging Cost Subtotal</t>
  </si>
  <si>
    <t>Compressor - for 3 crewmen</t>
  </si>
  <si>
    <t>Generator (2.25 kW) - for 6 crewmen</t>
  </si>
  <si>
    <t>Vacuum Blast Rig - 4 outlet</t>
  </si>
  <si>
    <t>ARK System (2 crewmen per section)</t>
  </si>
  <si>
    <t>Lift Truck for 4 crewmen</t>
  </si>
  <si>
    <t>Decon Trailer - for leadwork</t>
  </si>
  <si>
    <t>Operating Cost Factors</t>
  </si>
  <si>
    <t>Insurance (percent of project subtotal)</t>
  </si>
  <si>
    <t>Typical values are 4 to 10% - default is 6%</t>
  </si>
  <si>
    <t>Profit (percent of all costs + insurance)</t>
  </si>
  <si>
    <t>Typical values are 7 to 20% - default is 15%</t>
  </si>
  <si>
    <t>Material Cost Subtotal</t>
  </si>
  <si>
    <t>Disposal Cost Factors</t>
  </si>
  <si>
    <t>each</t>
  </si>
  <si>
    <t>Hazardous material disposal</t>
  </si>
  <si>
    <t>ton</t>
  </si>
  <si>
    <t>gallon</t>
  </si>
  <si>
    <t>Non-hazardous material disposal</t>
  </si>
  <si>
    <t>Wash water disposal</t>
  </si>
  <si>
    <t>Barrel for solid waste disposal</t>
  </si>
  <si>
    <t>Disposal Cost Subtotal</t>
  </si>
  <si>
    <t># workers</t>
  </si>
  <si>
    <t>loaded rate</t>
  </si>
  <si>
    <t>Labor Cost Subtotal</t>
  </si>
  <si>
    <t>Lead Health and Safety Plan</t>
  </si>
  <si>
    <t>Lab Testing of Samples</t>
  </si>
  <si>
    <t>Site Pre-Assessment</t>
  </si>
  <si>
    <t>dollars</t>
  </si>
  <si>
    <t>$ / Item</t>
  </si>
  <si>
    <t>LH&amp;S Cost Subtotal</t>
  </si>
  <si>
    <t>Rapid deployment utilizes hand tools to supplement abrasive blasting.</t>
  </si>
  <si>
    <t>Cost Summary</t>
  </si>
  <si>
    <t>error checks ##=true 0=false</t>
  </si>
  <si>
    <t>FHWA Contract No. DTFH61-97-C-00026</t>
  </si>
  <si>
    <t>Cost Model Spreadsheet - Results Page</t>
  </si>
  <si>
    <t>Percent Area Deteriorated</t>
  </si>
  <si>
    <t>Persons in the Work Crew</t>
  </si>
  <si>
    <t>The Costs to:</t>
  </si>
  <si>
    <t>are given below.</t>
  </si>
  <si>
    <t>Lead Health and Safety</t>
  </si>
  <si>
    <t>Project Insurance</t>
  </si>
  <si>
    <t>Production Equipment</t>
  </si>
  <si>
    <t>Waste Disposal</t>
  </si>
  <si>
    <t>Labor Cost</t>
  </si>
  <si>
    <t>Staging and Containment</t>
  </si>
  <si>
    <t>Item Cost</t>
  </si>
  <si>
    <t>Item Percentage</t>
  </si>
  <si>
    <t>Cost / SF</t>
  </si>
  <si>
    <t>a Safe-Span Platform</t>
  </si>
  <si>
    <t>a Suspended Rigid Platform</t>
  </si>
  <si>
    <t>an ARK Mobile Platform System</t>
  </si>
  <si>
    <t>three coat system</t>
  </si>
  <si>
    <t>two coat system</t>
  </si>
  <si>
    <t xml:space="preserve">Brush apply a </t>
  </si>
  <si>
    <t xml:space="preserve">Roll on a </t>
  </si>
  <si>
    <t xml:space="preserve">Conventional spray apply a </t>
  </si>
  <si>
    <t xml:space="preserve">Airless spray apply a </t>
  </si>
  <si>
    <t>For a Bridge Project with:</t>
  </si>
  <si>
    <t>Cost Effective Alternate Methods for Steel Bridge Paint System Maintenance</t>
  </si>
  <si>
    <t>Paintable Square Feet</t>
  </si>
  <si>
    <t>6.  Water Injected Blasting (Torbo)</t>
  </si>
  <si>
    <t>Select a single Coating Application Option from the choices below.  Each option has an associated production factor.</t>
  </si>
  <si>
    <t>Hrs/move with hand vacuum cleaning</t>
  </si>
  <si>
    <t xml:space="preserve">Hrs/move for full removal - dry - from LTruck </t>
  </si>
  <si>
    <t>Basic Calculations</t>
  </si>
  <si>
    <t>lbs. / SF</t>
  </si>
  <si>
    <t>Slag Abrasive</t>
  </si>
  <si>
    <t>Total Expendable Grit</t>
  </si>
  <si>
    <t>Existing sp gravity</t>
  </si>
  <si>
    <t>subtotal</t>
  </si>
  <si>
    <t>Staging/Containment Equipment Costs</t>
  </si>
  <si>
    <t>Truck MPT/Towing for 4 crewmen</t>
  </si>
  <si>
    <t>Labor Overhead Rate</t>
  </si>
  <si>
    <t>Variable input depending upon size and complexity of Project</t>
  </si>
  <si>
    <t>High Vol. Air Monitoring</t>
  </si>
  <si>
    <t>Field Tech./Emissions Observer</t>
  </si>
  <si>
    <t>Value used to "load" base labor rate.  Typical values are 35% to 75% - default is 50%</t>
  </si>
  <si>
    <t>$/SF for the platform materials, set up with unit increments of 5,000 SF.  This disposable material is costed for one month only (set-up only)</t>
  </si>
  <si>
    <t>Price per day for field tech.  If lead is present = applies to full duration, If no lead = applies to Surface Prep time only.</t>
  </si>
  <si>
    <t>Price per day for HV monitoring.  If lead is present = applies to full duration, If no lead = applies to S Prep time only.</t>
  </si>
  <si>
    <t>Price per day for sample testing.  If lead is present = applies to full duration, If no lead = applies to Surface Prep time only.</t>
  </si>
  <si>
    <t>DATA CONFLICT! - "Lead in coating" is not selected, with Blastox or Pretox.</t>
  </si>
  <si>
    <t>DATA CONFLICT! - "Blastox" and "Pretox" are selected simultaneously.</t>
  </si>
  <si>
    <t>DATA CONFLICT! - A "full removal" and a "spot preparation" are selected at the same time.</t>
  </si>
  <si>
    <t>Option 1</t>
  </si>
  <si>
    <t>Option 2</t>
  </si>
  <si>
    <t>Option 3</t>
  </si>
  <si>
    <t>Select below to send results to the "Comparison Page"</t>
  </si>
  <si>
    <t>The paintable square footage (SF) of the bridge.  Suggested minimum is 5,000.  A "typical" 2-lane bridge over a divided highway may be 15,000 SF.</t>
  </si>
  <si>
    <t>The percent area of the paintable area that is corroded through the coating.  Typical deterioration for an overcoat project is less than 10%.  Deterioration greater than 10% is seen on some paint removal projects.  Deterioration over 25% may slow cleaning production rates compared to the default rates in this program.</t>
  </si>
  <si>
    <t>The number of hours the crew works each day.  Varies by hours crew is provided access to the jobsite.  Average is 8 hours per day.</t>
  </si>
  <si>
    <t>Select if the existing coating contains lead.  This relates mostly to disposal, and LH&amp;S costs.</t>
  </si>
  <si>
    <t>Select if lead is in the coating and a pre-applied lead stabilizer will be used.</t>
  </si>
  <si>
    <t>Direct current removal method for coatings over steel.  Rate of 40 SF/MH is from this study.  Estimated production range may be from 20 to 100 SF/MH.</t>
  </si>
  <si>
    <t>Products like "Metgrain." Removal rate of 200 is average for sites visited in this study.  Typical range may be from 50 to 250 SF/MH.</t>
  </si>
  <si>
    <t>Variable pressure water jetting with abrasive injection.  Rate of 100 SF/MH is from this study. Typical range may be from 75 to 150 SF/MH.</t>
  </si>
  <si>
    <t>Production rate of 91 is from this study.  Typical range may be from 50 to 200 SF/MH.</t>
  </si>
  <si>
    <t>Benchmark spot preparation method for this study.  Typical production rate is 10 SF/MH for cleaning of "spots" only.  These numbers vary greatly depending upon the condition of the bridge.</t>
  </si>
  <si>
    <t>Calculation based on data from this study. = "0.019*Deterioration^2-2.6371*Deterioration+197.2"</t>
  </si>
  <si>
    <t>Calculation based on data from this study. = "18.94/percent deteriorated"</t>
  </si>
  <si>
    <t>Rate to sweep all surfaces.  200 SF/hr was used for this study</t>
  </si>
  <si>
    <t>Rate to sweep all surfaces.  150 SF/hr was used for this study</t>
  </si>
  <si>
    <t>Rate to clean at individual spots of degradation only. 80 SF/hr was used for this study.</t>
  </si>
  <si>
    <t>Lift Trucks are a completely mobile option.  All staging is removed after each work shift.  Enter the hours required to complete one set-up / teardown cycle per work location. (This study = .75 hrs.)</t>
  </si>
  <si>
    <t>Enter SF built by the entire crew per hour (This study = 200 SF/hr.)</t>
  </si>
  <si>
    <t>Enter SF built by the entire crew per hour. (This study = 320 SF/hr.)</t>
  </si>
  <si>
    <t>Hours required to set-up and remove an ARK platform per shift (This study = .5 hrs.)</t>
  </si>
  <si>
    <t>SF per hour applied by brushing (This study = 1500 SF/hr.)</t>
  </si>
  <si>
    <t>SF per hour applied by rolling (This study = 1875 SF/hr.)</t>
  </si>
  <si>
    <t>SF per hour applied with conventional spray (This study = 2400 SF/hr.)</t>
  </si>
  <si>
    <t>SF per hour applied with airless spray (This study = 3750 SF/hr.)</t>
  </si>
  <si>
    <t>cost of Safespan is calculated based on the safe span rental schedule located within the "cost" page calculations.</t>
  </si>
  <si>
    <t>Use this page to input various painting options.  View model results on the "Output" page. Compare various options with the "Comparison Page"</t>
  </si>
  <si>
    <t>= a changeable input parameter</t>
  </si>
  <si>
    <t>Background Variables page - Use this page to vary the calculation parameters for the cost model</t>
  </si>
  <si>
    <t>Total Cost / SF</t>
  </si>
  <si>
    <t>Arc Spray Metallizing unit</t>
  </si>
  <si>
    <t>Metallizing Wire</t>
  </si>
  <si>
    <t>pound</t>
  </si>
  <si>
    <t>wire spray metallizing</t>
  </si>
  <si>
    <t>Typical values are 75 to 90% - default is based on field observation</t>
  </si>
  <si>
    <t>wire metallizing usage rate</t>
  </si>
  <si>
    <t>lbs/SF</t>
  </si>
  <si>
    <t>4.  Metallizing with Sealer</t>
  </si>
  <si>
    <t>3.  Metallizing</t>
  </si>
  <si>
    <t>CHECK YOUR DATA! - "Metallizing" is selected with a "spot" surface preparation.</t>
  </si>
  <si>
    <t>Metallizing</t>
  </si>
  <si>
    <t>Wire arc spray with full coat airless sprayed sealer</t>
  </si>
  <si>
    <t>The ideal spreading rate of 85/15 at 15 mils DFT</t>
  </si>
  <si>
    <t>Wire arc spray.  Enter SF sprayed per hour per worker. (This study = 176.4 SF/hr.)</t>
  </si>
  <si>
    <t>lbs required</t>
  </si>
  <si>
    <t>Metal Sealer</t>
  </si>
  <si>
    <t>sealer</t>
  </si>
  <si>
    <t>Metallizing Wire (per lb.)</t>
  </si>
  <si>
    <t>Arc spray apply unsealed metallizing</t>
  </si>
  <si>
    <t>Perform full removal with once through abrasive</t>
  </si>
  <si>
    <t>Perform full removal with ElectroStrip</t>
  </si>
  <si>
    <t>Perform full removal with recyclable steel grit</t>
  </si>
  <si>
    <t>Perform full removal using water jetting</t>
  </si>
  <si>
    <t>Perform full removal with grit injected water jetting</t>
  </si>
  <si>
    <t>Perform full removal with the Torbo wetblast system</t>
  </si>
  <si>
    <t>Perform spot cleaning with hand tools</t>
  </si>
  <si>
    <t>Perform spot cleaning using water jetting</t>
  </si>
  <si>
    <t>Perform spot cleaning with an expendable grit brush blast</t>
  </si>
  <si>
    <t>Perform spot cleaning with grit injected water jetting</t>
  </si>
  <si>
    <t>Perform spot cleaning with recyclable steel grit</t>
  </si>
  <si>
    <t>Perform spot cleaning using water injected blasting (Torbo)</t>
  </si>
  <si>
    <t>Perform spot cleaning using vacuum blasting</t>
  </si>
  <si>
    <t>Arc spray metallizing with an airless applied seal coat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</si>
</sst>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(&quot;$&quot;* #,##0_);_(&quot;$&quot;* \(#,##0\);_(&quot;$&quot;* &quot;-&quot;??_);_(@_)"/>
    <numFmt numFmtId="174" formatCode="00000"/>
    <numFmt numFmtId="175" formatCode="&quot;$&quot;#,##0.00"/>
    <numFmt numFmtId="176" formatCode="&quot;$&quot;#,##0.00;[Red]&quot;$&quot;#,##0.0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$&quot;#,##0.0_);[Red]\(&quot;$&quot;#,##0.0\)"/>
    <numFmt numFmtId="181" formatCode="0.00000"/>
    <numFmt numFmtId="182" formatCode="0.000000"/>
    <numFmt numFmtId="183" formatCode="0.0000"/>
    <numFmt numFmtId="184" formatCode="0.000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&quot;$&quot;* #,##0.0_);_(&quot;$&quot;* \(#,##0.0\);_(&quot;$&quot;* &quot;-&quot;??_);_(@_)"/>
    <numFmt numFmtId="189" formatCode="_(* #,##0.0000_);_(* \(#,##0.0000\);_(* &quot;-&quot;????_);_(@_)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</numFmts>
  <fonts count="1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b/>
      <sz val="8"/>
      <name val="Arial"/>
      <family val="0"/>
    </font>
    <font>
      <sz val="10"/>
      <color indexed="10"/>
      <name val="Arial"/>
      <family val="2"/>
    </font>
    <font>
      <b/>
      <sz val="15.25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4" fontId="1" fillId="0" borderId="0" xfId="17" applyFont="1" applyAlignment="1">
      <alignment/>
    </xf>
    <xf numFmtId="44" fontId="0" fillId="0" borderId="0" xfId="0" applyNumberFormat="1" applyAlignment="1">
      <alignment/>
    </xf>
    <xf numFmtId="44" fontId="0" fillId="0" borderId="0" xfId="17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1" fillId="0" borderId="0" xfId="17" applyFont="1" applyAlignment="1">
      <alignment horizontal="center"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19" applyBorder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67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/>
    </xf>
    <xf numFmtId="2" fontId="0" fillId="0" borderId="0" xfId="0" applyNumberFormat="1" applyAlignment="1">
      <alignment wrapText="1"/>
    </xf>
    <xf numFmtId="0" fontId="0" fillId="2" borderId="0" xfId="0" applyFill="1" applyAlignment="1">
      <alignment/>
    </xf>
    <xf numFmtId="44" fontId="0" fillId="0" borderId="0" xfId="17" applyAlignment="1">
      <alignment/>
    </xf>
    <xf numFmtId="178" fontId="0" fillId="0" borderId="0" xfId="15" applyNumberFormat="1" applyBorder="1" applyAlignment="1">
      <alignment/>
    </xf>
    <xf numFmtId="44" fontId="0" fillId="0" borderId="0" xfId="17" applyBorder="1" applyAlignment="1">
      <alignment/>
    </xf>
    <xf numFmtId="173" fontId="0" fillId="0" borderId="0" xfId="17" applyNumberFormat="1" applyFont="1" applyBorder="1" applyAlignment="1">
      <alignment horizontal="center"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179" fontId="0" fillId="0" borderId="0" xfId="15" applyNumberFormat="1" applyFont="1" applyAlignment="1" quotePrefix="1">
      <alignment horizontal="left"/>
    </xf>
    <xf numFmtId="0" fontId="0" fillId="0" borderId="0" xfId="0" applyAlignment="1">
      <alignment horizontal="left"/>
    </xf>
    <xf numFmtId="2" fontId="0" fillId="0" borderId="0" xfId="0" applyNumberFormat="1" applyFill="1" applyAlignment="1">
      <alignment/>
    </xf>
    <xf numFmtId="2" fontId="0" fillId="0" borderId="0" xfId="0" applyNumberFormat="1" applyAlignment="1" quotePrefix="1">
      <alignment/>
    </xf>
    <xf numFmtId="179" fontId="0" fillId="0" borderId="0" xfId="0" applyNumberFormat="1" applyAlignment="1">
      <alignment/>
    </xf>
    <xf numFmtId="178" fontId="0" fillId="0" borderId="0" xfId="15" applyNumberFormat="1" applyFont="1" applyBorder="1" applyAlignment="1">
      <alignment/>
    </xf>
    <xf numFmtId="44" fontId="0" fillId="0" borderId="0" xfId="17" applyFont="1" applyBorder="1" applyAlignment="1">
      <alignment/>
    </xf>
    <xf numFmtId="178" fontId="0" fillId="0" borderId="0" xfId="19" applyNumberFormat="1" applyBorder="1" applyAlignment="1">
      <alignment/>
    </xf>
    <xf numFmtId="178" fontId="0" fillId="0" borderId="0" xfId="17" applyNumberFormat="1" applyBorder="1" applyAlignment="1">
      <alignment/>
    </xf>
    <xf numFmtId="179" fontId="0" fillId="0" borderId="0" xfId="15" applyNumberFormat="1" applyFont="1" applyBorder="1" applyAlignment="1">
      <alignment/>
    </xf>
    <xf numFmtId="43" fontId="0" fillId="0" borderId="0" xfId="15" applyAlignment="1">
      <alignment/>
    </xf>
    <xf numFmtId="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 wrapText="1"/>
    </xf>
    <xf numFmtId="43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left"/>
    </xf>
    <xf numFmtId="43" fontId="0" fillId="0" borderId="0" xfId="15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77" fontId="0" fillId="0" borderId="0" xfId="15" applyNumberFormat="1" applyFill="1" applyAlignment="1">
      <alignment horizontal="center" wrapText="1"/>
    </xf>
    <xf numFmtId="177" fontId="0" fillId="0" borderId="0" xfId="0" applyNumberFormat="1" applyFill="1" applyAlignment="1">
      <alignment horizontal="center" wrapText="1"/>
    </xf>
    <xf numFmtId="9" fontId="0" fillId="0" borderId="0" xfId="19" applyFont="1" applyBorder="1" applyAlignment="1">
      <alignment/>
    </xf>
    <xf numFmtId="43" fontId="0" fillId="0" borderId="0" xfId="15" applyAlignment="1">
      <alignment horizontal="center" wrapText="1"/>
    </xf>
    <xf numFmtId="43" fontId="0" fillId="0" borderId="0" xfId="15" applyNumberFormat="1" applyAlignment="1">
      <alignment horizontal="center" wrapText="1"/>
    </xf>
    <xf numFmtId="0" fontId="1" fillId="0" borderId="0" xfId="0" applyFont="1" applyAlignment="1">
      <alignment wrapText="1"/>
    </xf>
    <xf numFmtId="43" fontId="0" fillId="0" borderId="0" xfId="15" applyAlignment="1">
      <alignment horizontal="center"/>
    </xf>
    <xf numFmtId="179" fontId="0" fillId="0" borderId="0" xfId="15" applyNumberFormat="1" applyAlignment="1">
      <alignment horizontal="center"/>
    </xf>
    <xf numFmtId="179" fontId="0" fillId="0" borderId="0" xfId="15" applyNumberFormat="1" applyAlignment="1">
      <alignment horizontal="center" wrapText="1"/>
    </xf>
    <xf numFmtId="179" fontId="0" fillId="0" borderId="0" xfId="0" applyNumberForma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79" fontId="0" fillId="0" borderId="0" xfId="0" applyNumberFormat="1" applyAlignment="1">
      <alignment/>
    </xf>
    <xf numFmtId="177" fontId="0" fillId="0" borderId="0" xfId="15" applyNumberFormat="1" applyAlignment="1">
      <alignment horizontal="center"/>
    </xf>
    <xf numFmtId="185" fontId="0" fillId="0" borderId="0" xfId="15" applyNumberFormat="1" applyAlignment="1">
      <alignment horizontal="center"/>
    </xf>
    <xf numFmtId="43" fontId="1" fillId="0" borderId="0" xfId="0" applyNumberFormat="1" applyFont="1" applyAlignment="1">
      <alignment horizontal="center" wrapText="1"/>
    </xf>
    <xf numFmtId="43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7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43" fontId="0" fillId="0" borderId="0" xfId="15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2" borderId="0" xfId="0" applyFill="1" applyBorder="1" applyAlignment="1">
      <alignment/>
    </xf>
    <xf numFmtId="0" fontId="0" fillId="4" borderId="0" xfId="0" applyFill="1" applyAlignment="1">
      <alignment/>
    </xf>
    <xf numFmtId="9" fontId="0" fillId="0" borderId="0" xfId="19" applyFont="1" applyBorder="1" applyAlignment="1">
      <alignment horizontal="right"/>
    </xf>
    <xf numFmtId="44" fontId="0" fillId="0" borderId="0" xfId="17" applyFont="1" applyBorder="1" applyAlignment="1">
      <alignment horizontal="right"/>
    </xf>
    <xf numFmtId="179" fontId="0" fillId="0" borderId="0" xfId="15" applyNumberFormat="1" applyAlignment="1">
      <alignment/>
    </xf>
    <xf numFmtId="0" fontId="0" fillId="0" borderId="7" xfId="0" applyBorder="1" applyAlignment="1">
      <alignment horizontal="center"/>
    </xf>
    <xf numFmtId="44" fontId="0" fillId="0" borderId="0" xfId="17" applyFont="1" applyAlignment="1">
      <alignment/>
    </xf>
    <xf numFmtId="44" fontId="0" fillId="0" borderId="7" xfId="17" applyBorder="1" applyAlignment="1">
      <alignment/>
    </xf>
    <xf numFmtId="43" fontId="0" fillId="0" borderId="0" xfId="15" applyNumberFormat="1" applyAlignment="1">
      <alignment/>
    </xf>
    <xf numFmtId="44" fontId="0" fillId="0" borderId="0" xfId="17" applyFill="1" applyAlignment="1">
      <alignment/>
    </xf>
    <xf numFmtId="9" fontId="0" fillId="0" borderId="0" xfId="19" applyFont="1" applyFill="1" applyBorder="1" applyAlignment="1">
      <alignment/>
    </xf>
    <xf numFmtId="44" fontId="0" fillId="0" borderId="0" xfId="0" applyNumberFormat="1" applyAlignment="1">
      <alignment horizontal="center"/>
    </xf>
    <xf numFmtId="44" fontId="0" fillId="0" borderId="0" xfId="17" applyNumberFormat="1" applyAlignment="1">
      <alignment horizontal="center"/>
    </xf>
    <xf numFmtId="0" fontId="0" fillId="0" borderId="0" xfId="0" applyFont="1" applyAlignment="1">
      <alignment horizontal="right"/>
    </xf>
    <xf numFmtId="44" fontId="0" fillId="0" borderId="0" xfId="17" applyFont="1" applyAlignment="1">
      <alignment horizontal="right"/>
    </xf>
    <xf numFmtId="10" fontId="0" fillId="0" borderId="0" xfId="19" applyNumberFormat="1" applyAlignment="1">
      <alignment/>
    </xf>
    <xf numFmtId="173" fontId="0" fillId="0" borderId="0" xfId="19" applyNumberFormat="1" applyAlignment="1">
      <alignment/>
    </xf>
    <xf numFmtId="173" fontId="0" fillId="0" borderId="0" xfId="19" applyNumberFormat="1" applyBorder="1" applyAlignment="1">
      <alignment/>
    </xf>
    <xf numFmtId="10" fontId="0" fillId="0" borderId="0" xfId="19" applyNumberFormat="1" applyBorder="1" applyAlignment="1">
      <alignment/>
    </xf>
    <xf numFmtId="173" fontId="0" fillId="0" borderId="0" xfId="17" applyNumberFormat="1" applyAlignment="1">
      <alignment/>
    </xf>
    <xf numFmtId="44" fontId="0" fillId="0" borderId="0" xfId="17" applyFont="1" applyAlignment="1">
      <alignment/>
    </xf>
    <xf numFmtId="173" fontId="0" fillId="4" borderId="0" xfId="17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179" fontId="0" fillId="2" borderId="0" xfId="15" applyNumberFormat="1" applyFont="1" applyFill="1" applyAlignment="1" applyProtection="1">
      <alignment/>
      <protection locked="0"/>
    </xf>
    <xf numFmtId="192" fontId="0" fillId="2" borderId="0" xfId="19" applyNumberFormat="1" applyFill="1" applyAlignment="1" applyProtection="1">
      <alignment/>
      <protection locked="0"/>
    </xf>
    <xf numFmtId="179" fontId="0" fillId="2" borderId="0" xfId="15" applyNumberFormat="1" applyFill="1" applyAlignment="1" applyProtection="1">
      <alignment/>
      <protection locked="0"/>
    </xf>
    <xf numFmtId="44" fontId="0" fillId="2" borderId="0" xfId="17" applyFill="1" applyAlignment="1" applyProtection="1">
      <alignment/>
      <protection locked="0"/>
    </xf>
    <xf numFmtId="178" fontId="0" fillId="2" borderId="0" xfId="15" applyNumberFormat="1" applyFill="1" applyAlignment="1" applyProtection="1">
      <alignment/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9" fontId="1" fillId="0" borderId="0" xfId="15" applyNumberFormat="1" applyFont="1" applyAlignment="1" applyProtection="1">
      <alignment/>
      <protection/>
    </xf>
    <xf numFmtId="19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/>
    </xf>
    <xf numFmtId="44" fontId="0" fillId="0" borderId="1" xfId="17" applyBorder="1" applyAlignment="1" applyProtection="1">
      <alignment/>
      <protection/>
    </xf>
    <xf numFmtId="10" fontId="0" fillId="0" borderId="1" xfId="19" applyNumberFormat="1" applyBorder="1" applyAlignment="1" applyProtection="1">
      <alignment/>
      <protection/>
    </xf>
    <xf numFmtId="44" fontId="0" fillId="0" borderId="8" xfId="17" applyBorder="1" applyAlignment="1" applyProtection="1">
      <alignment/>
      <protection/>
    </xf>
    <xf numFmtId="10" fontId="0" fillId="0" borderId="8" xfId="19" applyNumberFormat="1" applyBorder="1" applyAlignment="1" applyProtection="1">
      <alignment/>
      <protection/>
    </xf>
    <xf numFmtId="44" fontId="0" fillId="0" borderId="9" xfId="17" applyBorder="1" applyAlignment="1" applyProtection="1">
      <alignment/>
      <protection/>
    </xf>
    <xf numFmtId="9" fontId="0" fillId="0" borderId="10" xfId="19" applyBorder="1" applyAlignment="1" applyProtection="1">
      <alignment/>
      <protection/>
    </xf>
    <xf numFmtId="44" fontId="0" fillId="0" borderId="11" xfId="17" applyBorder="1" applyAlignment="1" applyProtection="1">
      <alignment/>
      <protection/>
    </xf>
    <xf numFmtId="44" fontId="0" fillId="0" borderId="0" xfId="17" applyAlignment="1" applyProtection="1">
      <alignment/>
      <protection/>
    </xf>
    <xf numFmtId="173" fontId="0" fillId="2" borderId="0" xfId="17" applyNumberFormat="1" applyFont="1" applyFill="1" applyBorder="1" applyAlignment="1" applyProtection="1">
      <alignment horizontal="center"/>
      <protection locked="0"/>
    </xf>
    <xf numFmtId="178" fontId="0" fillId="2" borderId="0" xfId="15" applyNumberFormat="1" applyFill="1" applyBorder="1" applyAlignment="1" applyProtection="1">
      <alignment/>
      <protection locked="0"/>
    </xf>
    <xf numFmtId="9" fontId="0" fillId="2" borderId="0" xfId="19" applyFill="1" applyBorder="1" applyAlignment="1" applyProtection="1">
      <alignment/>
      <protection locked="0"/>
    </xf>
    <xf numFmtId="179" fontId="0" fillId="2" borderId="0" xfId="17" applyNumberFormat="1" applyFont="1" applyFill="1" applyBorder="1" applyAlignment="1" applyProtection="1">
      <alignment horizontal="center"/>
      <protection locked="0"/>
    </xf>
    <xf numFmtId="44" fontId="0" fillId="2" borderId="0" xfId="17" applyFont="1" applyFill="1" applyBorder="1" applyAlignment="1" applyProtection="1">
      <alignment horizontal="center"/>
      <protection locked="0"/>
    </xf>
    <xf numFmtId="179" fontId="0" fillId="2" borderId="0" xfId="15" applyNumberFormat="1" applyFont="1" applyFill="1" applyBorder="1" applyAlignment="1" applyProtection="1">
      <alignment horizontal="center"/>
      <protection locked="0"/>
    </xf>
    <xf numFmtId="9" fontId="0" fillId="2" borderId="0" xfId="19" applyFont="1" applyFill="1" applyBorder="1" applyAlignment="1" applyProtection="1">
      <alignment horizontal="right"/>
      <protection locked="0"/>
    </xf>
    <xf numFmtId="43" fontId="0" fillId="2" borderId="0" xfId="15" applyNumberFormat="1" applyFont="1" applyFill="1" applyBorder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  <xf numFmtId="43" fontId="0" fillId="2" borderId="0" xfId="15" applyFont="1" applyFill="1" applyBorder="1" applyAlignment="1" applyProtection="1">
      <alignment/>
      <protection locked="0"/>
    </xf>
    <xf numFmtId="44" fontId="0" fillId="2" borderId="0" xfId="17" applyNumberFormat="1" applyFont="1" applyFill="1" applyBorder="1" applyAlignment="1" applyProtection="1">
      <alignment horizontal="center"/>
      <protection locked="0"/>
    </xf>
    <xf numFmtId="190" fontId="0" fillId="2" borderId="0" xfId="17" applyNumberFormat="1" applyFont="1" applyFill="1" applyBorder="1" applyAlignment="1" applyProtection="1">
      <alignment horizontal="center"/>
      <protection locked="0"/>
    </xf>
    <xf numFmtId="179" fontId="0" fillId="2" borderId="0" xfId="15" applyNumberFormat="1" applyFont="1" applyFill="1" applyBorder="1" applyAlignment="1" applyProtection="1">
      <alignment/>
      <protection locked="0"/>
    </xf>
    <xf numFmtId="43" fontId="0" fillId="2" borderId="0" xfId="15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177" fontId="0" fillId="2" borderId="0" xfId="15" applyNumberFormat="1" applyFont="1" applyFill="1" applyBorder="1" applyAlignment="1" applyProtection="1">
      <alignment/>
      <protection locked="0"/>
    </xf>
    <xf numFmtId="9" fontId="0" fillId="2" borderId="0" xfId="19" applyFont="1" applyFill="1" applyBorder="1" applyAlignment="1" applyProtection="1">
      <alignment/>
      <protection locked="0"/>
    </xf>
    <xf numFmtId="44" fontId="0" fillId="2" borderId="0" xfId="17" applyFont="1" applyFill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11" fillId="0" borderId="0" xfId="0" applyFont="1" applyAlignment="1">
      <alignment horizontal="left"/>
    </xf>
    <xf numFmtId="44" fontId="0" fillId="0" borderId="0" xfId="17" applyAlignment="1" applyProtection="1">
      <alignment/>
      <protection locked="0"/>
    </xf>
    <xf numFmtId="43" fontId="0" fillId="0" borderId="0" xfId="15" applyNumberFormat="1" applyAlignment="1">
      <alignment horizontal="center"/>
    </xf>
    <xf numFmtId="185" fontId="0" fillId="2" borderId="0" xfId="15" applyNumberFormat="1" applyFont="1" applyFill="1" applyBorder="1" applyAlignment="1" applyProtection="1">
      <alignment/>
      <protection locked="0"/>
    </xf>
    <xf numFmtId="172" fontId="0" fillId="2" borderId="0" xfId="0" applyNumberFormat="1" applyFill="1" applyAlignment="1" applyProtection="1">
      <alignment/>
      <protection locked="0"/>
    </xf>
    <xf numFmtId="185" fontId="0" fillId="0" borderId="0" xfId="15" applyNumberFormat="1" applyAlignment="1">
      <alignment horizontal="center" wrapText="1"/>
    </xf>
    <xf numFmtId="43" fontId="1" fillId="0" borderId="0" xfId="15" applyFont="1" applyAlignment="1">
      <alignment horizontal="center" wrapText="1"/>
    </xf>
    <xf numFmtId="179" fontId="1" fillId="0" borderId="0" xfId="0" applyNumberFormat="1" applyFont="1" applyAlignment="1">
      <alignment/>
    </xf>
    <xf numFmtId="43" fontId="1" fillId="0" borderId="0" xfId="15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 wrapText="1"/>
      <protection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9" fontId="0" fillId="0" borderId="0" xfId="19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Project Cost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5"/>
          <c:y val="0.20625"/>
          <c:w val="0.44225"/>
          <c:h val="0.67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Output!$C$17:$C$24</c:f>
              <c:strCache/>
            </c:strRef>
          </c:cat>
          <c:val>
            <c:numRef>
              <c:f>Output!$E$17:$E$24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5"/>
          <c:y val="0.1855"/>
          <c:w val="0.3175"/>
          <c:h val="0.744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Painting Option Comparison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Page'!$B$5</c:f>
              <c:strCache>
                <c:ptCount val="1"/>
                <c:pt idx="0">
                  <c:v>Option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Page'!$A$6:$A$13</c:f>
              <c:strCache/>
            </c:strRef>
          </c:cat>
          <c:val>
            <c:numRef>
              <c:f>'Comparison Page'!$B$6:$B$13</c:f>
              <c:numCache/>
            </c:numRef>
          </c:val>
        </c:ser>
        <c:ser>
          <c:idx val="1"/>
          <c:order val="1"/>
          <c:tx>
            <c:strRef>
              <c:f>'Comparison Page'!$C$5</c:f>
              <c:strCache>
                <c:ptCount val="1"/>
                <c:pt idx="0">
                  <c:v>Option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Page'!$A$6:$A$13</c:f>
              <c:strCache/>
            </c:strRef>
          </c:cat>
          <c:val>
            <c:numRef>
              <c:f>'Comparison Page'!$C$6:$C$13</c:f>
              <c:numCache/>
            </c:numRef>
          </c:val>
        </c:ser>
        <c:ser>
          <c:idx val="2"/>
          <c:order val="2"/>
          <c:tx>
            <c:strRef>
              <c:f>'Comparison Page'!$D$5</c:f>
              <c:strCache>
                <c:ptCount val="1"/>
                <c:pt idx="0">
                  <c:v>Option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'Comparison Page'!$A$6:$A$13</c:f>
              <c:strCache/>
            </c:strRef>
          </c:cat>
          <c:val>
            <c:numRef>
              <c:f>'Comparison Page'!$D$6:$D$13</c:f>
              <c:numCache/>
            </c:numRef>
          </c:val>
        </c:ser>
        <c:axId val="52217486"/>
        <c:axId val="195327"/>
      </c:barChart>
      <c:catAx>
        <c:axId val="5221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327"/>
        <c:crosses val="autoZero"/>
        <c:auto val="1"/>
        <c:lblOffset val="100"/>
        <c:noMultiLvlLbl val="0"/>
      </c:catAx>
      <c:valAx>
        <c:axId val="195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 $ / SF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17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Spot H2O jet production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'Cost Variables'!$A$136:$A$144</c:f>
              <c:numCache/>
            </c:numRef>
          </c:xVal>
          <c:yVal>
            <c:numRef>
              <c:f>'Cost Variables'!$B$136:$B$144</c:f>
              <c:numCache/>
            </c:numRef>
          </c:yVal>
          <c:smooth val="1"/>
        </c:ser>
        <c:axId val="1757944"/>
        <c:axId val="15821497"/>
      </c:scatterChart>
      <c:valAx>
        <c:axId val="1757944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Deterioration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21497"/>
        <c:crosses val="autoZero"/>
        <c:crossBetween val="midCat"/>
        <c:dispUnits/>
        <c:majorUnit val="20"/>
      </c:valAx>
      <c:valAx>
        <c:axId val="15821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SF/Hr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7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Spot Blast and Grit Injection production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'Cost Variables'!$A$150:$A$158</c:f>
              <c:numCache/>
            </c:numRef>
          </c:xVal>
          <c:yVal>
            <c:numRef>
              <c:f>'Cost Variables'!$B$150:$B$158</c:f>
              <c:numCache/>
            </c:numRef>
          </c:yVal>
          <c:smooth val="1"/>
        </c:ser>
        <c:axId val="8175746"/>
        <c:axId val="6472851"/>
      </c:scatterChart>
      <c:valAx>
        <c:axId val="8175746"/>
        <c:scaling>
          <c:orientation val="minMax"/>
          <c:max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Deterioration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2851"/>
        <c:crosses val="autoZero"/>
        <c:crossBetween val="midCat"/>
        <c:dispUnits/>
        <c:majorUnit val="0.2"/>
      </c:valAx>
      <c:valAx>
        <c:axId val="647285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SF/Hr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7574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0</xdr:rowOff>
    </xdr:from>
    <xdr:to>
      <xdr:col>6</xdr:col>
      <xdr:colOff>1581150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76200" y="4619625"/>
        <a:ext cx="59340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</xdr:row>
      <xdr:rowOff>152400</xdr:rowOff>
    </xdr:from>
    <xdr:to>
      <xdr:col>4</xdr:col>
      <xdr:colOff>466725</xdr:colOff>
      <xdr:row>31</xdr:row>
      <xdr:rowOff>19050</xdr:rowOff>
    </xdr:to>
    <xdr:graphicFrame>
      <xdr:nvGraphicFramePr>
        <xdr:cNvPr id="1" name="Chart 2"/>
        <xdr:cNvGraphicFramePr/>
      </xdr:nvGraphicFramePr>
      <xdr:xfrm>
        <a:off x="171450" y="27146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132</xdr:row>
      <xdr:rowOff>114300</xdr:rowOff>
    </xdr:from>
    <xdr:to>
      <xdr:col>6</xdr:col>
      <xdr:colOff>476250</xdr:colOff>
      <xdr:row>145</xdr:row>
      <xdr:rowOff>104775</xdr:rowOff>
    </xdr:to>
    <xdr:graphicFrame>
      <xdr:nvGraphicFramePr>
        <xdr:cNvPr id="1" name="Chart 1"/>
        <xdr:cNvGraphicFramePr/>
      </xdr:nvGraphicFramePr>
      <xdr:xfrm>
        <a:off x="3543300" y="23507700"/>
        <a:ext cx="31813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390525</xdr:colOff>
      <xdr:row>146</xdr:row>
      <xdr:rowOff>123825</xdr:rowOff>
    </xdr:from>
    <xdr:to>
      <xdr:col>6</xdr:col>
      <xdr:colOff>523875</xdr:colOff>
      <xdr:row>159</xdr:row>
      <xdr:rowOff>123825</xdr:rowOff>
    </xdr:to>
    <xdr:graphicFrame>
      <xdr:nvGraphicFramePr>
        <xdr:cNvPr id="2" name="Chart 2"/>
        <xdr:cNvGraphicFramePr/>
      </xdr:nvGraphicFramePr>
      <xdr:xfrm>
        <a:off x="3581400" y="25784175"/>
        <a:ext cx="31908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80"/>
  <sheetViews>
    <sheetView workbookViewId="0" topLeftCell="A1">
      <selection activeCell="B8" sqref="B8"/>
    </sheetView>
  </sheetViews>
  <sheetFormatPr defaultColWidth="9.140625" defaultRowHeight="12.75"/>
  <cols>
    <col min="1" max="1" width="21.00390625" style="0" customWidth="1"/>
    <col min="2" max="2" width="8.8515625" style="0" customWidth="1"/>
    <col min="3" max="3" width="27.57421875" style="0" customWidth="1"/>
    <col min="4" max="4" width="18.28125" style="0" customWidth="1"/>
    <col min="5" max="5" width="75.8515625" style="0" customWidth="1"/>
    <col min="6" max="6" width="9.57421875" style="0" customWidth="1"/>
  </cols>
  <sheetData>
    <row r="1" spans="1:7" ht="15.75">
      <c r="A1" s="177" t="s">
        <v>369</v>
      </c>
      <c r="B1" s="177"/>
      <c r="C1" s="177"/>
      <c r="D1" s="177"/>
      <c r="E1" s="177"/>
      <c r="F1" s="131"/>
      <c r="G1" s="131"/>
    </row>
    <row r="2" spans="1:7" ht="12.75">
      <c r="A2" s="178" t="s">
        <v>344</v>
      </c>
      <c r="B2" s="178"/>
      <c r="C2" s="178"/>
      <c r="D2" s="178"/>
      <c r="E2" s="178"/>
      <c r="F2" s="132"/>
      <c r="G2" s="132"/>
    </row>
    <row r="3" ht="15.75">
      <c r="A3" s="121" t="s">
        <v>75</v>
      </c>
    </row>
    <row r="4" s="48" customFormat="1" ht="12.75">
      <c r="A4" s="119" t="s">
        <v>423</v>
      </c>
    </row>
    <row r="5" ht="12.75">
      <c r="C5" s="36" t="s">
        <v>118</v>
      </c>
    </row>
    <row r="6" ht="12.75">
      <c r="C6" s="47" t="s">
        <v>119</v>
      </c>
    </row>
    <row r="7" spans="1:3" ht="12.75">
      <c r="A7" s="1" t="s">
        <v>76</v>
      </c>
      <c r="B7" s="1" t="s">
        <v>67</v>
      </c>
      <c r="C7" s="1" t="s">
        <v>77</v>
      </c>
    </row>
    <row r="8" spans="1:5" ht="12.75">
      <c r="A8" s="119" t="s">
        <v>104</v>
      </c>
      <c r="B8" s="123">
        <v>25000</v>
      </c>
      <c r="C8" s="176" t="s">
        <v>399</v>
      </c>
      <c r="D8" s="176"/>
      <c r="E8" s="176"/>
    </row>
    <row r="9" spans="1:5" ht="37.5" customHeight="1">
      <c r="A9" s="119" t="s">
        <v>79</v>
      </c>
      <c r="B9" s="124">
        <v>0.3</v>
      </c>
      <c r="C9" s="176" t="s">
        <v>400</v>
      </c>
      <c r="D9" s="176"/>
      <c r="E9" s="176"/>
    </row>
    <row r="10" spans="1:5" ht="12.75">
      <c r="A10" s="119" t="s">
        <v>21</v>
      </c>
      <c r="B10" s="125">
        <v>1</v>
      </c>
      <c r="C10" s="176" t="s">
        <v>80</v>
      </c>
      <c r="D10" s="176"/>
      <c r="E10" s="176"/>
    </row>
    <row r="11" spans="1:5" ht="12.75">
      <c r="A11" s="119" t="s">
        <v>22</v>
      </c>
      <c r="B11" s="125">
        <v>4</v>
      </c>
      <c r="C11" s="176" t="s">
        <v>81</v>
      </c>
      <c r="D11" s="176"/>
      <c r="E11" s="176"/>
    </row>
    <row r="12" spans="1:5" ht="12.75">
      <c r="A12" s="119" t="s">
        <v>23</v>
      </c>
      <c r="B12" s="125">
        <v>2</v>
      </c>
      <c r="C12" s="176" t="s">
        <v>82</v>
      </c>
      <c r="D12" s="176"/>
      <c r="E12" s="176"/>
    </row>
    <row r="13" spans="1:5" ht="24.75" customHeight="1">
      <c r="A13" s="119" t="s">
        <v>72</v>
      </c>
      <c r="B13" s="126">
        <v>26</v>
      </c>
      <c r="C13" s="176" t="s">
        <v>120</v>
      </c>
      <c r="D13" s="176"/>
      <c r="E13" s="176"/>
    </row>
    <row r="14" spans="1:5" ht="12.75">
      <c r="A14" s="119" t="s">
        <v>20</v>
      </c>
      <c r="B14" s="127">
        <v>8</v>
      </c>
      <c r="C14" s="176" t="s">
        <v>401</v>
      </c>
      <c r="D14" s="176"/>
      <c r="E14" s="176"/>
    </row>
    <row r="15" spans="1:5" ht="12.75">
      <c r="A15" s="119" t="s">
        <v>49</v>
      </c>
      <c r="B15" s="128" t="s">
        <v>124</v>
      </c>
      <c r="C15" s="176" t="s">
        <v>402</v>
      </c>
      <c r="D15" s="176"/>
      <c r="E15" s="176"/>
    </row>
    <row r="16" spans="1:5" ht="24.75" customHeight="1">
      <c r="A16" s="119" t="s">
        <v>39</v>
      </c>
      <c r="B16" s="128" t="s">
        <v>124</v>
      </c>
      <c r="C16" s="176" t="s">
        <v>121</v>
      </c>
      <c r="D16" s="176"/>
      <c r="E16" s="176"/>
    </row>
    <row r="17" spans="1:5" ht="12.75">
      <c r="A17" s="119" t="s">
        <v>62</v>
      </c>
      <c r="B17" s="128" t="s">
        <v>125</v>
      </c>
      <c r="C17" s="176" t="s">
        <v>83</v>
      </c>
      <c r="D17" s="176"/>
      <c r="E17" s="176"/>
    </row>
    <row r="18" spans="1:5" ht="12.75">
      <c r="A18" s="119" t="s">
        <v>46</v>
      </c>
      <c r="B18" s="128" t="s">
        <v>125</v>
      </c>
      <c r="C18" s="176" t="s">
        <v>403</v>
      </c>
      <c r="D18" s="176"/>
      <c r="E18" s="176"/>
    </row>
    <row r="19" spans="1:5" ht="12.75">
      <c r="A19" s="119" t="s">
        <v>47</v>
      </c>
      <c r="B19" s="128" t="s">
        <v>125</v>
      </c>
      <c r="C19" s="176" t="s">
        <v>90</v>
      </c>
      <c r="D19" s="176"/>
      <c r="E19" s="176"/>
    </row>
    <row r="20" spans="1:5" ht="12.75">
      <c r="A20" s="119" t="s">
        <v>52</v>
      </c>
      <c r="B20" s="128" t="s">
        <v>125</v>
      </c>
      <c r="C20" s="176" t="s">
        <v>84</v>
      </c>
      <c r="D20" s="176"/>
      <c r="E20" s="176"/>
    </row>
    <row r="21" spans="1:5" ht="12.75">
      <c r="A21" s="119" t="s">
        <v>53</v>
      </c>
      <c r="B21" s="128" t="s">
        <v>124</v>
      </c>
      <c r="C21" s="176" t="s">
        <v>196</v>
      </c>
      <c r="D21" s="176"/>
      <c r="E21" s="176"/>
    </row>
    <row r="22" spans="1:3" ht="12.75">
      <c r="A22" s="120" t="s">
        <v>87</v>
      </c>
      <c r="C22" t="s">
        <v>88</v>
      </c>
    </row>
    <row r="23" spans="2:5" ht="12.75">
      <c r="B23" s="129">
        <v>1</v>
      </c>
      <c r="C23" s="1" t="s">
        <v>85</v>
      </c>
      <c r="D23" s="1" t="s">
        <v>86</v>
      </c>
      <c r="E23" s="1" t="s">
        <v>77</v>
      </c>
    </row>
    <row r="24" ht="12.75">
      <c r="C24" s="119" t="s">
        <v>138</v>
      </c>
    </row>
    <row r="25" spans="3:5" ht="25.5">
      <c r="C25" s="119" t="s">
        <v>132</v>
      </c>
      <c r="D25" s="122">
        <v>100</v>
      </c>
      <c r="E25" s="2" t="s">
        <v>91</v>
      </c>
    </row>
    <row r="26" spans="3:5" ht="25.5">
      <c r="C26" s="119" t="s">
        <v>134</v>
      </c>
      <c r="D26" s="122">
        <v>40</v>
      </c>
      <c r="E26" s="2" t="s">
        <v>404</v>
      </c>
    </row>
    <row r="27" spans="3:5" ht="25.5">
      <c r="C27" s="119" t="s">
        <v>133</v>
      </c>
      <c r="D27" s="122">
        <v>200</v>
      </c>
      <c r="E27" s="2" t="s">
        <v>405</v>
      </c>
    </row>
    <row r="28" spans="3:5" ht="25.5">
      <c r="C28" s="119" t="s">
        <v>135</v>
      </c>
      <c r="D28" s="122">
        <v>100</v>
      </c>
      <c r="E28" s="2" t="s">
        <v>92</v>
      </c>
    </row>
    <row r="29" spans="3:5" ht="25.5">
      <c r="C29" s="119" t="s">
        <v>136</v>
      </c>
      <c r="D29" s="122">
        <v>100</v>
      </c>
      <c r="E29" s="2" t="s">
        <v>406</v>
      </c>
    </row>
    <row r="30" spans="3:5" ht="12.75">
      <c r="C30" s="119" t="s">
        <v>137</v>
      </c>
      <c r="D30" s="122">
        <v>91</v>
      </c>
      <c r="E30" s="2" t="s">
        <v>407</v>
      </c>
    </row>
    <row r="31" spans="1:3" ht="12.75">
      <c r="A31" s="120" t="s">
        <v>89</v>
      </c>
      <c r="C31" t="s">
        <v>88</v>
      </c>
    </row>
    <row r="32" spans="2:5" ht="12.75">
      <c r="B32" s="129">
        <v>0</v>
      </c>
      <c r="C32" s="1" t="s">
        <v>85</v>
      </c>
      <c r="D32" s="1" t="s">
        <v>86</v>
      </c>
      <c r="E32" s="1" t="s">
        <v>77</v>
      </c>
    </row>
    <row r="33" ht="12.75">
      <c r="C33" s="119" t="s">
        <v>139</v>
      </c>
    </row>
    <row r="34" spans="3:5" ht="38.25">
      <c r="C34" s="119" t="s">
        <v>140</v>
      </c>
      <c r="D34" s="122">
        <v>10</v>
      </c>
      <c r="E34" s="2" t="s">
        <v>408</v>
      </c>
    </row>
    <row r="35" spans="3:6" ht="25.5">
      <c r="C35" s="119" t="s">
        <v>141</v>
      </c>
      <c r="D35" s="54">
        <f>0.019*($B$9*100)^2-2.6371*($B$9*100)+197.2</f>
        <v>135.18699999999998</v>
      </c>
      <c r="E35" s="2" t="s">
        <v>409</v>
      </c>
      <c r="F35" s="51"/>
    </row>
    <row r="36" spans="3:6" ht="12.75">
      <c r="C36" s="119" t="s">
        <v>142</v>
      </c>
      <c r="D36" s="54">
        <f>18.94/$B$9</f>
        <v>63.13333333333334</v>
      </c>
      <c r="E36" s="2" t="s">
        <v>410</v>
      </c>
      <c r="F36" s="51"/>
    </row>
    <row r="37" spans="3:6" ht="12.75">
      <c r="C37" s="119" t="s">
        <v>143</v>
      </c>
      <c r="D37" s="54">
        <f>18.94/$B$9</f>
        <v>63.13333333333334</v>
      </c>
      <c r="E37" s="2" t="s">
        <v>410</v>
      </c>
      <c r="F37" s="51"/>
    </row>
    <row r="38" spans="3:5" ht="12.75">
      <c r="C38" s="119" t="s">
        <v>144</v>
      </c>
      <c r="D38" s="122">
        <v>200</v>
      </c>
      <c r="E38" s="2" t="s">
        <v>411</v>
      </c>
    </row>
    <row r="39" spans="3:5" ht="12.75">
      <c r="C39" s="119" t="s">
        <v>371</v>
      </c>
      <c r="D39" s="122">
        <v>150</v>
      </c>
      <c r="E39" s="2" t="s">
        <v>412</v>
      </c>
    </row>
    <row r="40" spans="3:5" ht="12.75">
      <c r="C40" s="119" t="s">
        <v>145</v>
      </c>
      <c r="D40" s="122">
        <v>80</v>
      </c>
      <c r="E40" s="2" t="s">
        <v>413</v>
      </c>
    </row>
    <row r="41" spans="1:3" ht="12.75">
      <c r="A41" s="120" t="s">
        <v>93</v>
      </c>
      <c r="C41" t="s">
        <v>94</v>
      </c>
    </row>
    <row r="42" spans="2:5" ht="12.75">
      <c r="B42" s="130">
        <v>1</v>
      </c>
      <c r="C42" s="1" t="s">
        <v>95</v>
      </c>
      <c r="D42" s="1" t="s">
        <v>122</v>
      </c>
      <c r="E42" s="1" t="s">
        <v>77</v>
      </c>
    </row>
    <row r="43" spans="3:5" ht="38.25">
      <c r="C43" s="119" t="s">
        <v>146</v>
      </c>
      <c r="D43" s="122">
        <v>0.75</v>
      </c>
      <c r="E43" s="2" t="s">
        <v>414</v>
      </c>
    </row>
    <row r="44" spans="3:5" ht="12.75">
      <c r="C44" s="119" t="s">
        <v>147</v>
      </c>
      <c r="D44" s="122">
        <v>200</v>
      </c>
      <c r="E44" s="2" t="s">
        <v>415</v>
      </c>
    </row>
    <row r="45" spans="3:5" ht="12.75">
      <c r="C45" s="119" t="s">
        <v>148</v>
      </c>
      <c r="D45" s="122">
        <v>320</v>
      </c>
      <c r="E45" s="2" t="s">
        <v>416</v>
      </c>
    </row>
    <row r="46" spans="3:5" ht="12.75">
      <c r="C46" s="119" t="s">
        <v>149</v>
      </c>
      <c r="D46" s="122">
        <v>0.5</v>
      </c>
      <c r="E46" s="2" t="s">
        <v>417</v>
      </c>
    </row>
    <row r="47" spans="1:4" ht="12.75">
      <c r="A47" s="120" t="s">
        <v>98</v>
      </c>
      <c r="C47" t="s">
        <v>99</v>
      </c>
      <c r="D47" s="133"/>
    </row>
    <row r="48" spans="2:4" ht="12.75">
      <c r="B48" s="130">
        <v>4</v>
      </c>
      <c r="C48" s="1" t="s">
        <v>100</v>
      </c>
      <c r="D48" s="1" t="s">
        <v>77</v>
      </c>
    </row>
    <row r="49" spans="3:4" ht="12.75">
      <c r="C49" s="119" t="s">
        <v>150</v>
      </c>
      <c r="D49" t="s">
        <v>194</v>
      </c>
    </row>
    <row r="50" spans="3:4" ht="12.75">
      <c r="C50" s="119" t="s">
        <v>151</v>
      </c>
      <c r="D50" t="s">
        <v>195</v>
      </c>
    </row>
    <row r="51" spans="3:5" ht="12.75">
      <c r="C51" s="119" t="s">
        <v>435</v>
      </c>
      <c r="D51" s="170">
        <v>176.4</v>
      </c>
      <c r="E51" t="s">
        <v>440</v>
      </c>
    </row>
    <row r="52" spans="3:5" ht="12.75">
      <c r="C52" s="119" t="s">
        <v>434</v>
      </c>
      <c r="D52">
        <f>D51</f>
        <v>176.4</v>
      </c>
      <c r="E52" t="s">
        <v>438</v>
      </c>
    </row>
    <row r="53" spans="1:3" ht="12.75">
      <c r="A53" s="120" t="s">
        <v>96</v>
      </c>
      <c r="C53" t="s">
        <v>372</v>
      </c>
    </row>
    <row r="54" spans="2:5" ht="12.75">
      <c r="B54" s="130">
        <v>4</v>
      </c>
      <c r="C54" s="1" t="s">
        <v>97</v>
      </c>
      <c r="D54" s="1" t="s">
        <v>86</v>
      </c>
      <c r="E54" s="1" t="s">
        <v>77</v>
      </c>
    </row>
    <row r="55" spans="3:8" ht="12.75">
      <c r="C55" s="119" t="s">
        <v>152</v>
      </c>
      <c r="D55" s="122">
        <v>1500</v>
      </c>
      <c r="E55" t="s">
        <v>418</v>
      </c>
      <c r="H55" t="s">
        <v>2</v>
      </c>
    </row>
    <row r="56" spans="3:5" ht="12.75">
      <c r="C56" s="119" t="s">
        <v>153</v>
      </c>
      <c r="D56" s="122">
        <v>1875</v>
      </c>
      <c r="E56" t="s">
        <v>419</v>
      </c>
    </row>
    <row r="57" spans="3:5" ht="12.75">
      <c r="C57" s="119" t="s">
        <v>154</v>
      </c>
      <c r="D57" s="122">
        <v>2400</v>
      </c>
      <c r="E57" t="s">
        <v>420</v>
      </c>
    </row>
    <row r="58" spans="3:5" ht="12.75">
      <c r="C58" s="119" t="s">
        <v>155</v>
      </c>
      <c r="D58" s="122">
        <v>3750</v>
      </c>
      <c r="E58" t="s">
        <v>421</v>
      </c>
    </row>
    <row r="66" ht="12.75" hidden="1">
      <c r="A66" t="s">
        <v>343</v>
      </c>
    </row>
    <row r="67" spans="1:2" ht="12.75" hidden="1">
      <c r="A67">
        <f>IF(AND(B15="no",OR(B18="yes",B19="yes")),1,0)</f>
        <v>0</v>
      </c>
      <c r="B67" t="s">
        <v>392</v>
      </c>
    </row>
    <row r="68" spans="1:2" ht="12.75" hidden="1">
      <c r="A68">
        <f>IF(AND(B18="yes",B19="yes"),2,0)</f>
        <v>0</v>
      </c>
      <c r="B68" t="s">
        <v>393</v>
      </c>
    </row>
    <row r="69" spans="1:2" ht="12.75" hidden="1">
      <c r="A69">
        <f>IF(AND(B$23&gt;0,B$32&gt;0),3,0)</f>
        <v>0</v>
      </c>
      <c r="B69" t="s">
        <v>394</v>
      </c>
    </row>
    <row r="70" spans="1:2" ht="12.75" hidden="1">
      <c r="A70">
        <f>IF(AND(B$32&gt;0,OR(B$48=3,B$48=4)),4,0)</f>
        <v>0</v>
      </c>
      <c r="B70" t="s">
        <v>436</v>
      </c>
    </row>
    <row r="71" ht="12.75" hidden="1"/>
    <row r="72" spans="1:2" ht="12.75" hidden="1">
      <c r="A72" t="s">
        <v>123</v>
      </c>
      <c r="B72">
        <v>0</v>
      </c>
    </row>
    <row r="73" spans="1:2" ht="12.75" hidden="1">
      <c r="A73" t="s">
        <v>124</v>
      </c>
      <c r="B73">
        <v>1</v>
      </c>
    </row>
    <row r="74" spans="1:2" ht="12.75" hidden="1">
      <c r="A74" t="s">
        <v>125</v>
      </c>
      <c r="B74">
        <v>2</v>
      </c>
    </row>
    <row r="75" ht="12.75" hidden="1">
      <c r="B75">
        <v>3</v>
      </c>
    </row>
    <row r="76" ht="12.75" hidden="1">
      <c r="B76">
        <v>4</v>
      </c>
    </row>
    <row r="77" ht="12.75" hidden="1">
      <c r="B77">
        <v>5</v>
      </c>
    </row>
    <row r="78" ht="12.75" hidden="1">
      <c r="B78">
        <v>6</v>
      </c>
    </row>
    <row r="79" ht="12.75" hidden="1">
      <c r="B79">
        <v>7</v>
      </c>
    </row>
    <row r="80" ht="12.75" hidden="1">
      <c r="B80">
        <v>8</v>
      </c>
    </row>
  </sheetData>
  <sheetProtection sheet="1" objects="1" scenarios="1"/>
  <mergeCells count="16">
    <mergeCell ref="C14:E14"/>
    <mergeCell ref="C15:E15"/>
    <mergeCell ref="C8:E8"/>
    <mergeCell ref="C9:E9"/>
    <mergeCell ref="C10:E10"/>
    <mergeCell ref="C11:E11"/>
    <mergeCell ref="C20:E20"/>
    <mergeCell ref="C21:E21"/>
    <mergeCell ref="A1:E1"/>
    <mergeCell ref="A2:E2"/>
    <mergeCell ref="C16:E16"/>
    <mergeCell ref="C17:E17"/>
    <mergeCell ref="C18:E18"/>
    <mergeCell ref="C19:E19"/>
    <mergeCell ref="C12:E12"/>
    <mergeCell ref="C13:E13"/>
  </mergeCells>
  <dataValidations count="5">
    <dataValidation type="list" showInputMessage="1" showErrorMessage="1" sqref="B15:B21">
      <formula1>$A$73:$A$74</formula1>
    </dataValidation>
    <dataValidation errorStyle="information" type="whole" operator="equal" allowBlank="1" showInputMessage="1" showErrorMessage="1" errorTitle="Chreck Your Selections" error="Blastox and/or Pretox are typically used when lead is present in the exiting coatings" sqref="A67">
      <formula1>0</formula1>
    </dataValidation>
    <dataValidation type="list" allowBlank="1" showInputMessage="1" showErrorMessage="1" sqref="B23">
      <formula1>$B$72:$B$78</formula1>
    </dataValidation>
    <dataValidation type="list" allowBlank="1" showInputMessage="1" showErrorMessage="1" sqref="B32">
      <formula1>$B$72:$B$79</formula1>
    </dataValidation>
    <dataValidation type="list" allowBlank="1" showInputMessage="1" showErrorMessage="1" sqref="B42 B48 B54">
      <formula1>$B$73:$B$76</formula1>
    </dataValidation>
  </dataValidation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G90"/>
  <sheetViews>
    <sheetView workbookViewId="0" topLeftCell="A1">
      <selection activeCell="A1" sqref="A1:G1"/>
    </sheetView>
  </sheetViews>
  <sheetFormatPr defaultColWidth="9.140625" defaultRowHeight="12.75"/>
  <cols>
    <col min="2" max="2" width="10.421875" style="0" customWidth="1"/>
    <col min="4" max="4" width="15.8515625" style="0" customWidth="1"/>
    <col min="5" max="5" width="11.7109375" style="0" customWidth="1"/>
    <col min="6" max="6" width="10.140625" style="0" customWidth="1"/>
    <col min="7" max="7" width="26.7109375" style="0" customWidth="1"/>
  </cols>
  <sheetData>
    <row r="1" spans="1:7" ht="15.75">
      <c r="A1" s="177" t="s">
        <v>369</v>
      </c>
      <c r="B1" s="177"/>
      <c r="C1" s="177"/>
      <c r="D1" s="177"/>
      <c r="E1" s="177"/>
      <c r="F1" s="177"/>
      <c r="G1" s="177"/>
    </row>
    <row r="2" spans="1:7" ht="12.75">
      <c r="A2" s="178" t="s">
        <v>344</v>
      </c>
      <c r="B2" s="178"/>
      <c r="C2" s="178"/>
      <c r="D2" s="178"/>
      <c r="E2" s="178"/>
      <c r="F2" s="178"/>
      <c r="G2" s="178"/>
    </row>
    <row r="3" spans="1:7" ht="12.75">
      <c r="A3" s="133"/>
      <c r="B3" s="133"/>
      <c r="C3" s="133"/>
      <c r="D3" s="133"/>
      <c r="E3" s="133"/>
      <c r="F3" s="133"/>
      <c r="G3" s="133"/>
    </row>
    <row r="4" spans="1:7" ht="12.75">
      <c r="A4" s="133" t="s">
        <v>345</v>
      </c>
      <c r="B4" s="133"/>
      <c r="C4" s="133"/>
      <c r="D4" s="133"/>
      <c r="E4" s="133"/>
      <c r="F4" s="133"/>
      <c r="G4" s="133"/>
    </row>
    <row r="5" spans="1:7" ht="12.75">
      <c r="A5" s="133"/>
      <c r="B5" s="133"/>
      <c r="C5" s="133"/>
      <c r="D5" s="133"/>
      <c r="E5" s="133"/>
      <c r="F5" s="133"/>
      <c r="G5" s="133"/>
    </row>
    <row r="6" spans="1:7" ht="12.75">
      <c r="A6" s="133" t="s">
        <v>368</v>
      </c>
      <c r="B6" s="133"/>
      <c r="C6" s="133"/>
      <c r="D6" s="133"/>
      <c r="E6" s="133"/>
      <c r="F6" s="133"/>
      <c r="G6" s="133"/>
    </row>
    <row r="7" spans="1:7" ht="12.75">
      <c r="A7" s="133"/>
      <c r="B7" s="134">
        <f>Input!B8</f>
        <v>25000</v>
      </c>
      <c r="C7" s="133" t="s">
        <v>370</v>
      </c>
      <c r="D7" s="133"/>
      <c r="E7" s="133"/>
      <c r="F7" s="133"/>
      <c r="G7" s="133"/>
    </row>
    <row r="8" spans="1:7" ht="12.75">
      <c r="A8" s="133"/>
      <c r="B8" s="135">
        <f>Input!B9</f>
        <v>0.3</v>
      </c>
      <c r="C8" s="133" t="s">
        <v>346</v>
      </c>
      <c r="D8" s="133"/>
      <c r="E8" s="133"/>
      <c r="F8" s="133"/>
      <c r="G8" s="133"/>
    </row>
    <row r="9" spans="1:7" ht="12.75">
      <c r="A9" s="133"/>
      <c r="B9" s="136">
        <f>SUM(Input!B10:B12)</f>
        <v>7</v>
      </c>
      <c r="C9" s="133" t="s">
        <v>347</v>
      </c>
      <c r="D9" s="133"/>
      <c r="E9" s="133"/>
      <c r="F9" s="133"/>
      <c r="G9" s="133"/>
    </row>
    <row r="10" spans="1:7" ht="15">
      <c r="A10" s="179" t="str">
        <f>IF(Input!A67=1,Input!B67,IF(Input!A68=2,Input!B68,IF(Input!A69=3,Input!B69,IF(Input!A70=4,Input!B70," "))))</f>
        <v> </v>
      </c>
      <c r="B10" s="179"/>
      <c r="C10" s="179"/>
      <c r="D10" s="179"/>
      <c r="E10" s="179"/>
      <c r="F10" s="179"/>
      <c r="G10" s="179"/>
    </row>
    <row r="11" spans="1:7" ht="12.75">
      <c r="A11" s="133" t="s">
        <v>348</v>
      </c>
      <c r="B11" s="133"/>
      <c r="C11" s="133"/>
      <c r="D11" s="133"/>
      <c r="E11" s="133"/>
      <c r="F11" s="133"/>
      <c r="G11" s="133"/>
    </row>
    <row r="12" spans="1:7" ht="12.75">
      <c r="A12" s="133"/>
      <c r="B12" s="133" t="str">
        <f>CONCATENATE("Contain the bridge using ",VLOOKUP(Input!B42,Output!A76:B79,2))</f>
        <v>Contain the bridge using Lift Trucks</v>
      </c>
      <c r="C12" s="133"/>
      <c r="E12" s="133"/>
      <c r="F12" s="133"/>
      <c r="G12" s="133"/>
    </row>
    <row r="13" spans="1:7" ht="12.75">
      <c r="A13" s="133"/>
      <c r="B13" s="133" t="str">
        <f>VLOOKUP(A60,A62:B74,2)</f>
        <v>Perform full removal with once through abrasive</v>
      </c>
      <c r="C13" s="133"/>
      <c r="D13" s="133"/>
      <c r="E13" s="133"/>
      <c r="F13" s="133"/>
      <c r="G13" s="133"/>
    </row>
    <row r="14" spans="1:7" ht="12.75">
      <c r="A14" s="133"/>
      <c r="B14" s="133" t="str">
        <f>IF(Input!$B$48=3,B89,IF(Input!$B$48=4,B90,CONCATENATE(VLOOKUP(Input!B54,Output!A84:B87,2),VLOOKUP(Input!B48,Output!A81:B82,2))))</f>
        <v>Arc spray metallizing with an airless applied seal coat</v>
      </c>
      <c r="C14" s="133"/>
      <c r="D14" s="133"/>
      <c r="E14" s="133"/>
      <c r="F14" s="133"/>
      <c r="G14" s="133"/>
    </row>
    <row r="15" spans="1:7" ht="12.75">
      <c r="A15" s="133" t="s">
        <v>349</v>
      </c>
      <c r="B15" s="133"/>
      <c r="C15" s="133"/>
      <c r="D15" s="133"/>
      <c r="E15" s="133"/>
      <c r="F15" s="133"/>
      <c r="G15" s="133"/>
    </row>
    <row r="16" spans="1:7" ht="38.25">
      <c r="A16" s="133"/>
      <c r="B16" s="133"/>
      <c r="C16" s="133"/>
      <c r="D16" s="137" t="s">
        <v>356</v>
      </c>
      <c r="E16" s="137" t="s">
        <v>357</v>
      </c>
      <c r="F16" s="137" t="s">
        <v>358</v>
      </c>
      <c r="G16" s="137" t="s">
        <v>398</v>
      </c>
    </row>
    <row r="17" spans="1:7" ht="12.75">
      <c r="A17" s="133"/>
      <c r="B17" s="138"/>
      <c r="C17" s="138" t="str">
        <f>Cost!A92</f>
        <v>Labor Cost</v>
      </c>
      <c r="D17" s="139">
        <f>Cost!B92</f>
        <v>72072</v>
      </c>
      <c r="E17" s="140">
        <f>Cost!C92</f>
        <v>0.2776457900968595</v>
      </c>
      <c r="F17" s="139">
        <f>Cost!D92</f>
        <v>2.88288</v>
      </c>
      <c r="G17" s="133"/>
    </row>
    <row r="18" spans="1:7" ht="12.75">
      <c r="A18" s="133"/>
      <c r="B18" s="138"/>
      <c r="C18" s="138" t="str">
        <f>Cost!A93</f>
        <v>Waste Disposal</v>
      </c>
      <c r="D18" s="139">
        <f>Cost!B93</f>
        <v>48976.875</v>
      </c>
      <c r="E18" s="140">
        <f>Cost!C93</f>
        <v>0.18867553496295547</v>
      </c>
      <c r="F18" s="139">
        <f>Cost!D93</f>
        <v>1.959075</v>
      </c>
      <c r="G18" s="133"/>
    </row>
    <row r="19" spans="1:7" ht="12.75">
      <c r="A19" s="133"/>
      <c r="B19" s="138"/>
      <c r="C19" s="138" t="str">
        <f>Cost!A94</f>
        <v>Materials</v>
      </c>
      <c r="D19" s="139">
        <f>Cost!B94</f>
        <v>42378.75</v>
      </c>
      <c r="E19" s="140">
        <f>Cost!C94</f>
        <v>0.16325731944537802</v>
      </c>
      <c r="F19" s="139">
        <f>Cost!D94</f>
        <v>1.69515</v>
      </c>
      <c r="G19" s="133"/>
    </row>
    <row r="20" spans="1:7" ht="12.75">
      <c r="A20" s="133"/>
      <c r="B20" s="138"/>
      <c r="C20" s="138" t="str">
        <f>Cost!A95</f>
        <v>Production Equipment</v>
      </c>
      <c r="D20" s="139">
        <f>Cost!B95</f>
        <v>30204.169695338165</v>
      </c>
      <c r="E20" s="140">
        <f>Cost!C95</f>
        <v>0.1163567066167414</v>
      </c>
      <c r="F20" s="139">
        <f>Cost!D95</f>
        <v>1.2081667878135267</v>
      </c>
      <c r="G20" s="133"/>
    </row>
    <row r="21" spans="1:7" ht="12.75">
      <c r="A21" s="133"/>
      <c r="B21" s="138"/>
      <c r="C21" s="138" t="str">
        <f>Cost!A96</f>
        <v>Lead Health and Safety</v>
      </c>
      <c r="D21" s="139">
        <f>Cost!B96</f>
        <v>8925</v>
      </c>
      <c r="E21" s="140">
        <f>Cost!C96</f>
        <v>0.03438212727015306</v>
      </c>
      <c r="F21" s="139">
        <f>Cost!D96</f>
        <v>0.357</v>
      </c>
      <c r="G21" s="133"/>
    </row>
    <row r="22" spans="1:7" ht="12.75">
      <c r="A22" s="133"/>
      <c r="B22" s="138"/>
      <c r="C22" s="138" t="str">
        <f>Cost!A99</f>
        <v>Staging and Containment</v>
      </c>
      <c r="D22" s="139">
        <f>Cost!B99</f>
        <v>10390.327627766668</v>
      </c>
      <c r="E22" s="140">
        <f>Cost!C99</f>
        <v>0.04002706631669032</v>
      </c>
      <c r="F22" s="139">
        <f>Cost!D99</f>
        <v>0.41561310511066674</v>
      </c>
      <c r="G22" s="133"/>
    </row>
    <row r="23" spans="1:7" ht="12.75">
      <c r="A23" s="133"/>
      <c r="B23" s="138"/>
      <c r="C23" s="138" t="str">
        <f>Cost!A97</f>
        <v>Project Insurance</v>
      </c>
      <c r="D23" s="139">
        <f>Cost!B97</f>
        <v>12776.82733938629</v>
      </c>
      <c r="E23" s="140">
        <f>Cost!C97</f>
        <v>0.04922067268252667</v>
      </c>
      <c r="F23" s="139">
        <f>Cost!D97</f>
        <v>0.5110730935754516</v>
      </c>
      <c r="G23" s="133"/>
    </row>
    <row r="24" spans="1:7" ht="13.5" thickBot="1">
      <c r="A24" s="133"/>
      <c r="B24" s="138"/>
      <c r="C24" s="138" t="str">
        <f>Cost!A98</f>
        <v>Profit</v>
      </c>
      <c r="D24" s="141">
        <f>Cost!B98</f>
        <v>33858.59244937366</v>
      </c>
      <c r="E24" s="142">
        <f>Cost!C98</f>
        <v>0.13043478260869565</v>
      </c>
      <c r="F24" s="141">
        <f>Cost!D98</f>
        <v>1.3543436979749464</v>
      </c>
      <c r="G24" s="133"/>
    </row>
    <row r="25" spans="1:7" ht="13.5" thickBot="1">
      <c r="A25" s="133"/>
      <c r="B25" s="138"/>
      <c r="C25" s="138" t="str">
        <f>Cost!A100</f>
        <v>Total Cost</v>
      </c>
      <c r="D25" s="143">
        <f>Cost!B100</f>
        <v>259582.54211186478</v>
      </c>
      <c r="E25" s="144">
        <f>Cost!C100</f>
        <v>1</v>
      </c>
      <c r="F25" s="145">
        <f>Cost!D100</f>
        <v>10.383301684474592</v>
      </c>
      <c r="G25" s="133"/>
    </row>
    <row r="26" spans="1:7" ht="12.75">
      <c r="A26" s="133"/>
      <c r="B26" s="133"/>
      <c r="C26" s="133"/>
      <c r="D26" s="146"/>
      <c r="E26" s="133"/>
      <c r="F26" s="133"/>
      <c r="G26" s="133"/>
    </row>
    <row r="27" spans="1:7" ht="12.75">
      <c r="A27" s="133"/>
      <c r="B27" s="133"/>
      <c r="C27" s="133"/>
      <c r="D27" s="133"/>
      <c r="E27" s="133"/>
      <c r="F27" s="133"/>
      <c r="G27" s="133"/>
    </row>
    <row r="28" spans="1:7" ht="12.75">
      <c r="A28" s="133"/>
      <c r="B28" s="133"/>
      <c r="C28" s="133"/>
      <c r="D28" s="133"/>
      <c r="E28" s="133"/>
      <c r="F28" s="133"/>
      <c r="G28" s="133"/>
    </row>
    <row r="29" spans="1:7" ht="12.75">
      <c r="A29" s="133"/>
      <c r="B29" s="133"/>
      <c r="C29" s="133"/>
      <c r="D29" s="133"/>
      <c r="E29" s="133"/>
      <c r="F29" s="133"/>
      <c r="G29" s="133"/>
    </row>
    <row r="30" spans="1:7" ht="12.75">
      <c r="A30" s="133"/>
      <c r="B30" s="133"/>
      <c r="C30" s="133"/>
      <c r="D30" s="133"/>
      <c r="E30" s="133"/>
      <c r="F30" s="133"/>
      <c r="G30" s="133"/>
    </row>
    <row r="31" spans="1:7" ht="12.75">
      <c r="A31" s="133"/>
      <c r="B31" s="133"/>
      <c r="C31" s="133"/>
      <c r="D31" s="133"/>
      <c r="E31" s="133"/>
      <c r="F31" s="133"/>
      <c r="G31" s="133"/>
    </row>
    <row r="32" spans="1:7" ht="12.75">
      <c r="A32" s="133"/>
      <c r="B32" s="133"/>
      <c r="C32" s="133"/>
      <c r="D32" s="133"/>
      <c r="E32" s="133"/>
      <c r="F32" s="133"/>
      <c r="G32" s="133"/>
    </row>
    <row r="33" spans="1:7" ht="12.75">
      <c r="A33" s="133"/>
      <c r="B33" s="133"/>
      <c r="C33" s="133"/>
      <c r="D33" s="133"/>
      <c r="E33" s="133"/>
      <c r="F33" s="133"/>
      <c r="G33" s="133"/>
    </row>
    <row r="34" spans="1:7" ht="12.75">
      <c r="A34" s="133"/>
      <c r="B34" s="133"/>
      <c r="C34" s="133"/>
      <c r="D34" s="133"/>
      <c r="E34" s="133"/>
      <c r="F34" s="133"/>
      <c r="G34" s="133"/>
    </row>
    <row r="35" spans="1:7" ht="12.75">
      <c r="A35" s="133"/>
      <c r="B35" s="133"/>
      <c r="C35" s="133"/>
      <c r="D35" s="133"/>
      <c r="E35" s="133"/>
      <c r="F35" s="133"/>
      <c r="G35" s="133"/>
    </row>
    <row r="36" spans="1:7" ht="12.75">
      <c r="A36" s="133"/>
      <c r="B36" s="133"/>
      <c r="C36" s="133"/>
      <c r="D36" s="133"/>
      <c r="E36" s="133"/>
      <c r="F36" s="133"/>
      <c r="G36" s="133"/>
    </row>
    <row r="37" spans="1:7" ht="12.75">
      <c r="A37" s="133"/>
      <c r="B37" s="133"/>
      <c r="C37" s="133"/>
      <c r="D37" s="133"/>
      <c r="E37" s="133"/>
      <c r="F37" s="133"/>
      <c r="G37" s="133"/>
    </row>
    <row r="38" spans="1:7" ht="12.75">
      <c r="A38" s="133"/>
      <c r="B38" s="133"/>
      <c r="C38" s="133"/>
      <c r="D38" s="133"/>
      <c r="E38" s="133"/>
      <c r="F38" s="133"/>
      <c r="G38" s="133"/>
    </row>
    <row r="39" spans="1:7" ht="12.75">
      <c r="A39" s="133"/>
      <c r="B39" s="133"/>
      <c r="C39" s="133"/>
      <c r="D39" s="133"/>
      <c r="E39" s="133"/>
      <c r="F39" s="133"/>
      <c r="G39" s="133"/>
    </row>
    <row r="40" spans="1:7" ht="12.75">
      <c r="A40" s="133"/>
      <c r="B40" s="133"/>
      <c r="C40" s="133"/>
      <c r="D40" s="133"/>
      <c r="E40" s="133"/>
      <c r="F40" s="133"/>
      <c r="G40" s="133"/>
    </row>
    <row r="41" spans="1:7" ht="12.75">
      <c r="A41" s="133"/>
      <c r="B41" s="133"/>
      <c r="C41" s="133"/>
      <c r="D41" s="133"/>
      <c r="E41" s="133"/>
      <c r="F41" s="133"/>
      <c r="G41" s="133"/>
    </row>
    <row r="42" spans="1:7" ht="12.75">
      <c r="A42" s="133"/>
      <c r="B42" s="133"/>
      <c r="C42" s="133"/>
      <c r="D42" s="133"/>
      <c r="E42" s="133"/>
      <c r="F42" s="133"/>
      <c r="G42" s="133"/>
    </row>
    <row r="43" spans="1:7" ht="12.75">
      <c r="A43" s="133"/>
      <c r="B43" s="133"/>
      <c r="C43" s="133"/>
      <c r="D43" s="133"/>
      <c r="E43" s="133"/>
      <c r="F43" s="133"/>
      <c r="G43" s="133"/>
    </row>
    <row r="44" spans="1:7" ht="12.75">
      <c r="A44" s="133"/>
      <c r="B44" s="133"/>
      <c r="C44" s="133"/>
      <c r="D44" s="133"/>
      <c r="E44" s="133"/>
      <c r="F44" s="133"/>
      <c r="G44" s="133"/>
    </row>
    <row r="45" spans="1:7" ht="12.75">
      <c r="A45" s="133"/>
      <c r="B45" s="133"/>
      <c r="C45" s="133"/>
      <c r="D45" s="133"/>
      <c r="E45" s="133"/>
      <c r="F45" s="133"/>
      <c r="G45" s="133"/>
    </row>
    <row r="46" spans="1:7" ht="12.75">
      <c r="A46" s="133"/>
      <c r="B46" s="133"/>
      <c r="C46" s="133"/>
      <c r="D46" s="133"/>
      <c r="E46" s="133"/>
      <c r="F46" s="133"/>
      <c r="G46" s="133"/>
    </row>
    <row r="47" spans="1:7" ht="12.75">
      <c r="A47" s="133"/>
      <c r="B47" s="133"/>
      <c r="C47" s="133"/>
      <c r="D47" s="133"/>
      <c r="E47" s="133"/>
      <c r="F47" s="133"/>
      <c r="G47" s="133"/>
    </row>
    <row r="48" spans="1:7" ht="12.75">
      <c r="A48" s="133"/>
      <c r="B48" s="133"/>
      <c r="C48" s="133"/>
      <c r="D48" s="133"/>
      <c r="E48" s="133"/>
      <c r="F48" s="133"/>
      <c r="G48" s="133"/>
    </row>
    <row r="49" spans="1:7" ht="12.75">
      <c r="A49" s="133"/>
      <c r="B49" s="133"/>
      <c r="C49" s="133"/>
      <c r="D49" s="133"/>
      <c r="E49" s="133"/>
      <c r="F49" s="133"/>
      <c r="G49" s="133"/>
    </row>
    <row r="50" spans="1:7" ht="12.75">
      <c r="A50" s="133"/>
      <c r="B50" s="133"/>
      <c r="C50" s="133"/>
      <c r="D50" s="133"/>
      <c r="E50" s="133"/>
      <c r="F50" s="133"/>
      <c r="G50" s="133"/>
    </row>
    <row r="51" spans="1:7" ht="12.75">
      <c r="A51" s="133"/>
      <c r="B51" s="133"/>
      <c r="C51" s="133"/>
      <c r="D51" s="133"/>
      <c r="E51" s="133"/>
      <c r="F51" s="133"/>
      <c r="G51" s="133"/>
    </row>
    <row r="52" spans="1:7" ht="12.75">
      <c r="A52" s="133"/>
      <c r="B52" s="133"/>
      <c r="C52" s="133"/>
      <c r="D52" s="133"/>
      <c r="E52" s="133"/>
      <c r="F52" s="133"/>
      <c r="G52" s="133"/>
    </row>
    <row r="53" spans="1:7" ht="12.75">
      <c r="A53" s="133"/>
      <c r="B53" s="133"/>
      <c r="C53" s="133"/>
      <c r="D53" s="133"/>
      <c r="E53" s="133"/>
      <c r="F53" s="133"/>
      <c r="G53" s="133"/>
    </row>
    <row r="54" spans="1:7" ht="12.75">
      <c r="A54" s="133"/>
      <c r="B54" s="133"/>
      <c r="C54" s="133"/>
      <c r="D54" s="133"/>
      <c r="E54" s="133"/>
      <c r="F54" s="133"/>
      <c r="G54" s="133"/>
    </row>
    <row r="55" spans="1:7" ht="12.75">
      <c r="A55" s="133"/>
      <c r="B55" s="133"/>
      <c r="C55" s="133"/>
      <c r="D55" s="133"/>
      <c r="E55" s="133"/>
      <c r="F55" s="133"/>
      <c r="G55" s="133"/>
    </row>
    <row r="56" spans="1:7" ht="12.75">
      <c r="A56" s="133"/>
      <c r="B56" s="133"/>
      <c r="C56" s="133"/>
      <c r="D56" s="133"/>
      <c r="E56" s="133"/>
      <c r="F56" s="133"/>
      <c r="G56" s="133"/>
    </row>
    <row r="57" spans="1:7" ht="12.75">
      <c r="A57" s="133"/>
      <c r="B57" s="133"/>
      <c r="C57" s="133"/>
      <c r="D57" s="133"/>
      <c r="E57" s="133"/>
      <c r="F57" s="133"/>
      <c r="G57" s="133"/>
    </row>
    <row r="58" spans="1:7" ht="12.75">
      <c r="A58" s="133"/>
      <c r="B58" s="133"/>
      <c r="C58" s="133"/>
      <c r="D58" s="133"/>
      <c r="E58" s="133"/>
      <c r="F58" s="133"/>
      <c r="G58" s="133"/>
    </row>
    <row r="59" spans="1:7" ht="12.75">
      <c r="A59" s="133"/>
      <c r="B59" s="133"/>
      <c r="C59" s="133"/>
      <c r="D59" s="133"/>
      <c r="E59" s="133"/>
      <c r="F59" s="133"/>
      <c r="G59" s="133"/>
    </row>
    <row r="60" spans="1:7" ht="12.75" hidden="1">
      <c r="A60" s="133">
        <f>VALUE(IF(Input!B23&gt;0,Input!B23,CONCATENATE(1,Input!B32)))</f>
        <v>1</v>
      </c>
      <c r="B60" s="133"/>
      <c r="C60" s="133"/>
      <c r="D60" s="133"/>
      <c r="E60" s="133"/>
      <c r="F60" s="133"/>
      <c r="G60" s="133"/>
    </row>
    <row r="61" spans="1:7" ht="12.75" hidden="1">
      <c r="A61" s="133"/>
      <c r="B61" s="133"/>
      <c r="C61" s="133"/>
      <c r="D61" s="133"/>
      <c r="E61" s="133"/>
      <c r="F61" s="133"/>
      <c r="G61" s="133"/>
    </row>
    <row r="62" spans="1:7" ht="12.75" hidden="1">
      <c r="A62" s="133">
        <v>1</v>
      </c>
      <c r="B62" s="133" t="s">
        <v>446</v>
      </c>
      <c r="C62" s="133"/>
      <c r="D62" s="133"/>
      <c r="E62" s="133"/>
      <c r="F62" s="133"/>
      <c r="G62" s="133"/>
    </row>
    <row r="63" spans="1:7" ht="12.75" hidden="1">
      <c r="A63" s="133">
        <v>2</v>
      </c>
      <c r="B63" s="133" t="s">
        <v>447</v>
      </c>
      <c r="C63" s="133"/>
      <c r="D63" s="133"/>
      <c r="E63" s="133"/>
      <c r="F63" s="133"/>
      <c r="G63" s="133"/>
    </row>
    <row r="64" spans="1:7" ht="12.75" hidden="1">
      <c r="A64" s="133">
        <v>3</v>
      </c>
      <c r="B64" s="133" t="s">
        <v>448</v>
      </c>
      <c r="C64" s="133"/>
      <c r="D64" s="133"/>
      <c r="E64" s="133"/>
      <c r="F64" s="133"/>
      <c r="G64" s="133"/>
    </row>
    <row r="65" spans="1:7" ht="12.75" hidden="1">
      <c r="A65" s="133">
        <v>4</v>
      </c>
      <c r="B65" s="133" t="s">
        <v>449</v>
      </c>
      <c r="C65" s="133"/>
      <c r="D65" s="133"/>
      <c r="E65" s="133"/>
      <c r="F65" s="133"/>
      <c r="G65" s="133"/>
    </row>
    <row r="66" spans="1:7" ht="12.75" hidden="1">
      <c r="A66" s="133">
        <v>5</v>
      </c>
      <c r="B66" s="133" t="s">
        <v>450</v>
      </c>
      <c r="C66" s="133"/>
      <c r="D66" s="133"/>
      <c r="E66" s="133"/>
      <c r="F66" s="133"/>
      <c r="G66" s="133"/>
    </row>
    <row r="67" spans="1:7" ht="12.75" hidden="1">
      <c r="A67" s="133">
        <v>6</v>
      </c>
      <c r="B67" s="133" t="s">
        <v>451</v>
      </c>
      <c r="C67" s="133"/>
      <c r="D67" s="133"/>
      <c r="E67" s="133"/>
      <c r="F67" s="133"/>
      <c r="G67" s="133"/>
    </row>
    <row r="68" spans="1:7" ht="12.75" hidden="1">
      <c r="A68" s="133">
        <v>11</v>
      </c>
      <c r="B68" s="133" t="s">
        <v>452</v>
      </c>
      <c r="C68" s="133"/>
      <c r="D68" s="133"/>
      <c r="E68" s="133"/>
      <c r="F68" s="133"/>
      <c r="G68" s="133"/>
    </row>
    <row r="69" spans="1:7" ht="12.75" hidden="1">
      <c r="A69" s="133">
        <v>12</v>
      </c>
      <c r="B69" s="133" t="s">
        <v>453</v>
      </c>
      <c r="C69" s="133"/>
      <c r="D69" s="133"/>
      <c r="E69" s="133"/>
      <c r="F69" s="133"/>
      <c r="G69" s="133"/>
    </row>
    <row r="70" spans="1:7" ht="12.75" hidden="1">
      <c r="A70" s="133">
        <v>13</v>
      </c>
      <c r="B70" s="133" t="s">
        <v>454</v>
      </c>
      <c r="C70" s="133"/>
      <c r="D70" s="133"/>
      <c r="E70" s="133"/>
      <c r="F70" s="133"/>
      <c r="G70" s="133"/>
    </row>
    <row r="71" spans="1:7" ht="12.75" hidden="1">
      <c r="A71" s="133">
        <v>14</v>
      </c>
      <c r="B71" s="133" t="s">
        <v>455</v>
      </c>
      <c r="C71" s="133"/>
      <c r="D71" s="133"/>
      <c r="E71" s="133"/>
      <c r="F71" s="133"/>
      <c r="G71" s="133"/>
    </row>
    <row r="72" spans="1:7" ht="12.75" hidden="1">
      <c r="A72" s="133">
        <v>15</v>
      </c>
      <c r="B72" s="133" t="s">
        <v>456</v>
      </c>
      <c r="C72" s="133"/>
      <c r="D72" s="133"/>
      <c r="E72" s="133"/>
      <c r="F72" s="133"/>
      <c r="G72" s="133"/>
    </row>
    <row r="73" spans="1:7" ht="12.75" hidden="1">
      <c r="A73" s="133">
        <v>16</v>
      </c>
      <c r="B73" s="133" t="s">
        <v>457</v>
      </c>
      <c r="C73" s="133"/>
      <c r="D73" s="133"/>
      <c r="E73" s="133"/>
      <c r="F73" s="133"/>
      <c r="G73" s="133"/>
    </row>
    <row r="74" spans="1:7" ht="12.75" hidden="1">
      <c r="A74" s="133">
        <v>17</v>
      </c>
      <c r="B74" s="133" t="s">
        <v>458</v>
      </c>
      <c r="C74" s="133"/>
      <c r="D74" s="133"/>
      <c r="E74" s="133"/>
      <c r="F74" s="133"/>
      <c r="G74" s="133"/>
    </row>
    <row r="75" spans="1:7" ht="12.75" hidden="1">
      <c r="A75" s="133"/>
      <c r="B75" s="133"/>
      <c r="C75" s="133"/>
      <c r="D75" s="133"/>
      <c r="E75" s="133"/>
      <c r="F75" s="133"/>
      <c r="G75" s="133"/>
    </row>
    <row r="76" spans="1:7" ht="12.75" hidden="1">
      <c r="A76" s="133">
        <v>1</v>
      </c>
      <c r="B76" s="133" t="s">
        <v>7</v>
      </c>
      <c r="C76" s="133"/>
      <c r="D76" s="133"/>
      <c r="E76" s="133"/>
      <c r="F76" s="133"/>
      <c r="G76" s="133"/>
    </row>
    <row r="77" spans="1:7" ht="12.75" hidden="1">
      <c r="A77" s="133">
        <v>2</v>
      </c>
      <c r="B77" s="133" t="s">
        <v>359</v>
      </c>
      <c r="C77" s="133"/>
      <c r="D77" s="133"/>
      <c r="E77" s="133"/>
      <c r="F77" s="133"/>
      <c r="G77" s="133"/>
    </row>
    <row r="78" spans="1:7" ht="12.75" hidden="1">
      <c r="A78" s="133">
        <v>3</v>
      </c>
      <c r="B78" s="133" t="s">
        <v>360</v>
      </c>
      <c r="C78" s="133"/>
      <c r="D78" s="133"/>
      <c r="E78" s="133"/>
      <c r="F78" s="133"/>
      <c r="G78" s="133"/>
    </row>
    <row r="79" spans="1:7" ht="12.75" hidden="1">
      <c r="A79" s="133">
        <v>4</v>
      </c>
      <c r="B79" s="133" t="s">
        <v>361</v>
      </c>
      <c r="C79" s="133"/>
      <c r="D79" s="133"/>
      <c r="E79" s="133"/>
      <c r="F79" s="133"/>
      <c r="G79" s="133"/>
    </row>
    <row r="80" spans="1:7" ht="12.75" hidden="1">
      <c r="A80" s="133"/>
      <c r="B80" s="133"/>
      <c r="C80" s="133"/>
      <c r="D80" s="133"/>
      <c r="E80" s="133"/>
      <c r="F80" s="133"/>
      <c r="G80" s="133"/>
    </row>
    <row r="81" spans="1:7" ht="12.75" hidden="1">
      <c r="A81" s="133">
        <v>1</v>
      </c>
      <c r="B81" s="133" t="s">
        <v>362</v>
      </c>
      <c r="C81" s="133"/>
      <c r="D81" s="133"/>
      <c r="E81" s="133"/>
      <c r="F81" s="133"/>
      <c r="G81" s="133"/>
    </row>
    <row r="82" spans="1:7" ht="12.75" hidden="1">
      <c r="A82" s="133">
        <v>2</v>
      </c>
      <c r="B82" s="133" t="s">
        <v>363</v>
      </c>
      <c r="C82" s="133"/>
      <c r="D82" s="133"/>
      <c r="E82" s="133"/>
      <c r="F82" s="133"/>
      <c r="G82" s="133"/>
    </row>
    <row r="83" spans="1:7" ht="12.75" hidden="1">
      <c r="A83" s="133"/>
      <c r="B83" s="133"/>
      <c r="C83" s="133"/>
      <c r="D83" s="133"/>
      <c r="E83" s="133"/>
      <c r="F83" s="133"/>
      <c r="G83" s="133"/>
    </row>
    <row r="84" spans="1:7" ht="12.75" hidden="1">
      <c r="A84" s="133">
        <v>1</v>
      </c>
      <c r="B84" s="133" t="s">
        <v>364</v>
      </c>
      <c r="C84" s="133"/>
      <c r="D84" s="133"/>
      <c r="E84" s="133"/>
      <c r="F84" s="133"/>
      <c r="G84" s="133"/>
    </row>
    <row r="85" spans="1:7" ht="12.75" hidden="1">
      <c r="A85" s="133">
        <v>2</v>
      </c>
      <c r="B85" s="133" t="s">
        <v>365</v>
      </c>
      <c r="C85" s="133"/>
      <c r="D85" s="133"/>
      <c r="E85" s="133"/>
      <c r="F85" s="133"/>
      <c r="G85" s="133"/>
    </row>
    <row r="86" spans="1:7" ht="12.75" hidden="1">
      <c r="A86" s="133">
        <v>3</v>
      </c>
      <c r="B86" s="133" t="s">
        <v>366</v>
      </c>
      <c r="C86" s="133"/>
      <c r="D86" s="133"/>
      <c r="E86" s="133"/>
      <c r="F86" s="133"/>
      <c r="G86" s="133"/>
    </row>
    <row r="87" spans="1:7" ht="12.75" hidden="1">
      <c r="A87" s="133">
        <v>4</v>
      </c>
      <c r="B87" s="133" t="s">
        <v>367</v>
      </c>
      <c r="C87" s="133"/>
      <c r="D87" s="133"/>
      <c r="E87" s="133"/>
      <c r="F87" s="133"/>
      <c r="G87" s="133"/>
    </row>
    <row r="88" spans="1:7" ht="12.75" hidden="1">
      <c r="A88" s="133"/>
      <c r="B88" s="133"/>
      <c r="C88" s="133"/>
      <c r="D88" s="133"/>
      <c r="E88" s="133"/>
      <c r="F88" s="133"/>
      <c r="G88" s="133"/>
    </row>
    <row r="89" ht="12.75" hidden="1">
      <c r="B89" t="s">
        <v>445</v>
      </c>
    </row>
    <row r="90" ht="12.75" hidden="1">
      <c r="B90" t="s">
        <v>459</v>
      </c>
    </row>
  </sheetData>
  <sheetProtection sheet="1" objects="1" scenarios="1"/>
  <mergeCells count="3">
    <mergeCell ref="A1:G1"/>
    <mergeCell ref="A2:G2"/>
    <mergeCell ref="A10:G10"/>
  </mergeCells>
  <printOptions/>
  <pageMargins left="0.75" right="0.75" top="1" bottom="1" header="0.5" footer="0.5"/>
  <pageSetup horizontalDpi="600" verticalDpi="600" orientation="portrait" scale="92" r:id="rId3"/>
  <rowBreaks count="1" manualBreakCount="1">
    <brk id="51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workbookViewId="0" topLeftCell="A3">
      <selection activeCell="C6" sqref="C6:C13"/>
    </sheetView>
  </sheetViews>
  <sheetFormatPr defaultColWidth="9.140625" defaultRowHeight="12.75"/>
  <cols>
    <col min="1" max="1" width="28.28125" style="0" customWidth="1"/>
    <col min="2" max="2" width="13.00390625" style="0" customWidth="1"/>
    <col min="3" max="3" width="12.421875" style="0" customWidth="1"/>
    <col min="4" max="4" width="12.00390625" style="0" customWidth="1"/>
  </cols>
  <sheetData>
    <row r="1" spans="1:7" ht="36" customHeight="1">
      <c r="A1" s="180" t="s">
        <v>369</v>
      </c>
      <c r="B1" s="180"/>
      <c r="C1" s="180"/>
      <c r="D1" s="180"/>
      <c r="E1" s="180"/>
      <c r="F1" s="131"/>
      <c r="G1" s="131"/>
    </row>
    <row r="2" spans="1:7" ht="12.75">
      <c r="A2" s="178" t="s">
        <v>344</v>
      </c>
      <c r="B2" s="178"/>
      <c r="C2" s="178"/>
      <c r="D2" s="178"/>
      <c r="E2" s="178"/>
      <c r="F2" s="132"/>
      <c r="G2" s="132"/>
    </row>
    <row r="5" spans="1:4" ht="12.75">
      <c r="A5" s="2"/>
      <c r="B5" s="117" t="s">
        <v>395</v>
      </c>
      <c r="C5" s="117" t="s">
        <v>396</v>
      </c>
      <c r="D5" t="s">
        <v>397</v>
      </c>
    </row>
    <row r="6" spans="1:4" ht="12.75">
      <c r="A6" s="83" t="str">
        <f>Output!C17</f>
        <v>Labor Cost</v>
      </c>
      <c r="B6" s="167">
        <v>2.35872</v>
      </c>
      <c r="C6" s="167">
        <v>2.35872</v>
      </c>
      <c r="D6" s="167">
        <v>2.184</v>
      </c>
    </row>
    <row r="7" spans="1:4" ht="12.75">
      <c r="A7" s="83" t="str">
        <f>Output!C18</f>
        <v>Waste Disposal</v>
      </c>
      <c r="B7" s="167">
        <v>1.959075</v>
      </c>
      <c r="C7" s="167">
        <v>1.959075</v>
      </c>
      <c r="D7" s="167">
        <v>0.138675</v>
      </c>
    </row>
    <row r="8" spans="1:4" ht="12.75">
      <c r="A8" s="83" t="str">
        <f>Output!C19</f>
        <v>Materials</v>
      </c>
      <c r="B8" s="167">
        <v>0.91353</v>
      </c>
      <c r="C8" s="167">
        <v>0.91353</v>
      </c>
      <c r="D8" s="167">
        <v>1.35218</v>
      </c>
    </row>
    <row r="9" spans="1:4" ht="12.75">
      <c r="A9" s="83" t="str">
        <f>Output!C20</f>
        <v>Production Equipment</v>
      </c>
      <c r="B9" s="167">
        <v>0.7556100960409935</v>
      </c>
      <c r="C9" s="167">
        <v>0.7556100960409935</v>
      </c>
      <c r="D9" s="167">
        <v>1.0199131777373491</v>
      </c>
    </row>
    <row r="10" spans="1:4" ht="12.75">
      <c r="A10" s="83" t="str">
        <f>Output!C21</f>
        <v>Lead Health and Safety</v>
      </c>
      <c r="B10" s="167">
        <v>0.303</v>
      </c>
      <c r="C10" s="167">
        <v>0.303</v>
      </c>
      <c r="D10" s="167">
        <v>0.285</v>
      </c>
    </row>
    <row r="11" spans="1:4" ht="12.75">
      <c r="A11" s="83" t="str">
        <f>Output!C22</f>
        <v>Staging and Containment</v>
      </c>
      <c r="B11" s="167">
        <v>0.3283432196448889</v>
      </c>
      <c r="C11" s="167">
        <v>0.3283432196448889</v>
      </c>
      <c r="D11" s="167">
        <v>0.3283432196448889</v>
      </c>
    </row>
    <row r="12" spans="1:4" ht="12.75">
      <c r="A12" s="83" t="str">
        <f>Output!C23</f>
        <v>Project Insurance</v>
      </c>
      <c r="B12" s="167">
        <v>0.39709669894115296</v>
      </c>
      <c r="C12" s="167">
        <v>0.39709669894115296</v>
      </c>
      <c r="D12" s="167">
        <v>0.31848668384293427</v>
      </c>
    </row>
    <row r="13" spans="1:4" ht="12.75">
      <c r="A13" s="83" t="str">
        <f>Output!C24</f>
        <v>Profit</v>
      </c>
      <c r="B13" s="167">
        <v>1.0523062521940552</v>
      </c>
      <c r="C13" s="167">
        <v>1.0523062521940552</v>
      </c>
      <c r="D13" s="167">
        <v>0.8439897121837757</v>
      </c>
    </row>
    <row r="14" spans="1:4" ht="12.75">
      <c r="A14" s="83" t="s">
        <v>426</v>
      </c>
      <c r="B14" s="5">
        <f>SUM(B6:B13)</f>
        <v>8.067681266821092</v>
      </c>
      <c r="C14" s="5">
        <f>SUM(C6:C13)</f>
        <v>8.067681266821092</v>
      </c>
      <c r="D14" s="5">
        <f>SUM(D6:D13)</f>
        <v>6.470587793408948</v>
      </c>
    </row>
    <row r="15" spans="2:3" ht="12.75">
      <c r="B15" s="101"/>
      <c r="C15" s="5"/>
    </row>
    <row r="16" spans="2:3" ht="12.75">
      <c r="B16" s="101"/>
      <c r="C16" s="5"/>
    </row>
    <row r="17" spans="2:3" ht="12.75">
      <c r="B17" s="101"/>
      <c r="C17" s="5"/>
    </row>
    <row r="18" spans="2:3" ht="12.75">
      <c r="B18" s="101"/>
      <c r="C18" s="5"/>
    </row>
  </sheetData>
  <sheetProtection sheet="1" objects="1" scenarios="1"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J77"/>
  <sheetViews>
    <sheetView workbookViewId="0" topLeftCell="A1">
      <pane ySplit="3" topLeftCell="BM29" activePane="bottomLeft" state="frozen"/>
      <selection pane="topLeft" activeCell="A1" sqref="A1"/>
      <selection pane="bottomLeft" activeCell="B42" sqref="B42"/>
    </sheetView>
  </sheetViews>
  <sheetFormatPr defaultColWidth="9.140625" defaultRowHeight="12.75"/>
  <cols>
    <col min="1" max="1" width="19.140625" style="0" customWidth="1"/>
    <col min="2" max="2" width="33.57421875" style="2" customWidth="1"/>
    <col min="3" max="3" width="11.57421875" style="0" customWidth="1"/>
    <col min="4" max="4" width="5.7109375" style="0" customWidth="1"/>
    <col min="5" max="5" width="6.8515625" style="0" customWidth="1"/>
    <col min="6" max="6" width="9.00390625" style="0" customWidth="1"/>
    <col min="7" max="7" width="9.28125" style="0" customWidth="1"/>
    <col min="8" max="8" width="9.8515625" style="0" customWidth="1"/>
    <col min="9" max="9" width="11.421875" style="0" customWidth="1"/>
    <col min="10" max="10" width="10.7109375" style="0" customWidth="1"/>
  </cols>
  <sheetData>
    <row r="1" spans="1:7" ht="12.75">
      <c r="A1" s="34" t="s">
        <v>101</v>
      </c>
      <c r="B1" s="34"/>
      <c r="C1" s="32"/>
      <c r="D1" s="32"/>
      <c r="E1" s="32"/>
      <c r="F1" s="32"/>
      <c r="G1" s="32"/>
    </row>
    <row r="2" ht="12.75"/>
    <row r="3" spans="1:6" ht="38.25">
      <c r="A3" s="1"/>
      <c r="C3" s="26" t="s">
        <v>74</v>
      </c>
      <c r="D3" s="27" t="s">
        <v>17</v>
      </c>
      <c r="E3" s="26" t="s">
        <v>19</v>
      </c>
      <c r="F3" s="26" t="s">
        <v>27</v>
      </c>
    </row>
    <row r="4" spans="1:6" ht="12.75">
      <c r="A4" s="48" t="s">
        <v>375</v>
      </c>
      <c r="B4" s="25" t="s">
        <v>126</v>
      </c>
      <c r="C4" s="26"/>
      <c r="D4" s="27"/>
      <c r="E4" s="27"/>
      <c r="F4" s="27"/>
    </row>
    <row r="5" spans="1:6" ht="12.75">
      <c r="A5" s="48" t="s">
        <v>127</v>
      </c>
      <c r="B5" s="49">
        <f>IF(Input!$B$8&lt;50001,Input!$B$8*0.0067,IF(Input!$B$8&lt;1000001,350+Input!$B$8*0.003,5280))</f>
        <v>167.5</v>
      </c>
      <c r="C5" s="26"/>
      <c r="D5" s="27"/>
      <c r="E5" s="27"/>
      <c r="F5" s="27"/>
    </row>
    <row r="6" spans="1:6" ht="12.75">
      <c r="A6" s="48" t="s">
        <v>128</v>
      </c>
      <c r="B6" s="50">
        <f>IF(Input!$B$8&lt;10001,30,IF(Input!$B$8&lt;50001,60,90))</f>
        <v>60</v>
      </c>
      <c r="C6" s="26"/>
      <c r="D6" s="27"/>
      <c r="E6" s="27"/>
      <c r="F6" s="27"/>
    </row>
    <row r="7" spans="1:6" ht="12.75">
      <c r="A7" t="s">
        <v>167</v>
      </c>
      <c r="B7" s="2">
        <f>B5*B6</f>
        <v>10050</v>
      </c>
      <c r="C7" s="26"/>
      <c r="D7" s="27"/>
      <c r="E7" s="27"/>
      <c r="F7" s="27"/>
    </row>
    <row r="8" spans="1:6" ht="12.75">
      <c r="A8" s="48" t="s">
        <v>129</v>
      </c>
      <c r="B8" s="50">
        <f>0.55*Input!$B$8</f>
        <v>13750.000000000002</v>
      </c>
      <c r="C8" s="26"/>
      <c r="D8" s="27"/>
      <c r="E8" s="27"/>
      <c r="F8" s="27"/>
    </row>
    <row r="9" spans="1:6" ht="12.75">
      <c r="A9" s="48" t="s">
        <v>130</v>
      </c>
      <c r="B9" s="50">
        <f>IF(Input!$B$23&gt;0,Input!$B$8,Input!$B$8*Input!$B$9)</f>
        <v>25000</v>
      </c>
      <c r="C9" s="26"/>
      <c r="D9" s="27"/>
      <c r="E9" s="27"/>
      <c r="F9" s="27"/>
    </row>
    <row r="10" spans="1:6" ht="12.75">
      <c r="A10" s="48" t="s">
        <v>131</v>
      </c>
      <c r="B10" s="50">
        <f>IF(Input!$B$23&gt;0,(Input!$B$8-$B$8),IF(Input!$B$9&gt;0.55,(Input!$B$8-$B$8)*Input!$B$9,0.2*Input!$B$8))</f>
        <v>11249.999999999998</v>
      </c>
      <c r="C10" s="26"/>
      <c r="D10" s="27"/>
      <c r="E10" s="27"/>
      <c r="F10" s="27"/>
    </row>
    <row r="11" spans="1:6" ht="12.75">
      <c r="A11" s="48" t="s">
        <v>18</v>
      </c>
      <c r="B11" s="50">
        <f>SUM(Input!$B$10:$B$12)</f>
        <v>7</v>
      </c>
      <c r="C11" s="26"/>
      <c r="D11" s="27"/>
      <c r="E11" s="27"/>
      <c r="F11" s="27"/>
    </row>
    <row r="12" spans="1:6" ht="12.75">
      <c r="A12" s="48"/>
      <c r="C12" s="26"/>
      <c r="D12" s="27"/>
      <c r="F12" s="27"/>
    </row>
    <row r="13" spans="1:7" ht="12.75">
      <c r="A13" s="1" t="s">
        <v>1</v>
      </c>
      <c r="B13" s="2" t="str">
        <f>Input!C25</f>
        <v>1.  Once Through Abrasive</v>
      </c>
      <c r="C13" s="12">
        <f>Input!$B$8/Input!D25</f>
        <v>250</v>
      </c>
      <c r="D13">
        <f>IF(Input!$B$23=1,1,0)</f>
        <v>1</v>
      </c>
      <c r="E13" s="52">
        <f>ROUNDUP(C13/((Input!$B$14-2.5)*Input!$B$11),0)</f>
        <v>12</v>
      </c>
      <c r="F13">
        <f aca="true" t="shared" si="0" ref="F13:F18">(D13*E13)</f>
        <v>12</v>
      </c>
      <c r="G13">
        <v>1</v>
      </c>
    </row>
    <row r="14" spans="2:7" ht="12.75">
      <c r="B14" s="2" t="str">
        <f>Input!C26</f>
        <v>2.  ElectroStrip</v>
      </c>
      <c r="C14" s="12">
        <f>Input!$B$8/Input!D26</f>
        <v>625</v>
      </c>
      <c r="D14">
        <f>IF(Input!$B$23=2,1,0)</f>
        <v>0</v>
      </c>
      <c r="E14" s="52">
        <f>ROUNDUP(C14/((Input!$B$14-2.5)*Input!$B$11),0)</f>
        <v>29</v>
      </c>
      <c r="F14">
        <f t="shared" si="0"/>
        <v>0</v>
      </c>
      <c r="G14">
        <v>2</v>
      </c>
    </row>
    <row r="15" spans="2:7" ht="12.75">
      <c r="B15" s="2" t="str">
        <f>Input!C27</f>
        <v>3.  Recyclable Steel Grit</v>
      </c>
      <c r="C15" s="12">
        <f>Input!$B$8/Input!D27</f>
        <v>125</v>
      </c>
      <c r="D15">
        <f>IF(Input!$B$23=3,1,0)</f>
        <v>0</v>
      </c>
      <c r="E15" s="52">
        <f>ROUNDUP(C15/((Input!$B$14-2.5)*Input!$B$11),0)</f>
        <v>6</v>
      </c>
      <c r="F15">
        <f t="shared" si="0"/>
        <v>0</v>
      </c>
      <c r="G15">
        <v>3</v>
      </c>
    </row>
    <row r="16" spans="2:7" ht="12.75">
      <c r="B16" s="2" t="str">
        <f>Input!C28</f>
        <v>4.  Water Jetting</v>
      </c>
      <c r="C16" s="12">
        <f>Input!$B$8/Input!D28</f>
        <v>250</v>
      </c>
      <c r="D16">
        <f>IF(Input!$B$23=4,1,0)</f>
        <v>0</v>
      </c>
      <c r="E16" s="52">
        <f>ROUNDUP(C16/((Input!$B$14-2.5)*Input!$B$11),0)</f>
        <v>12</v>
      </c>
      <c r="F16">
        <f t="shared" si="0"/>
        <v>0</v>
      </c>
      <c r="G16">
        <v>4</v>
      </c>
    </row>
    <row r="17" spans="2:7" ht="12.75">
      <c r="B17" s="2" t="str">
        <f>Input!C29</f>
        <v>5.  Grit Injected Water Jetting</v>
      </c>
      <c r="C17" s="12">
        <f>Input!$B$8/Input!D29</f>
        <v>250</v>
      </c>
      <c r="D17">
        <f>IF(Input!$B$23=5,1,0)</f>
        <v>0</v>
      </c>
      <c r="E17" s="52">
        <f>ROUNDUP(C17/((Input!$B$14-2.5)*Input!$B$11),0)</f>
        <v>12</v>
      </c>
      <c r="F17">
        <f t="shared" si="0"/>
        <v>0</v>
      </c>
      <c r="G17">
        <v>5</v>
      </c>
    </row>
    <row r="18" spans="2:7" ht="12.75">
      <c r="B18" s="2" t="str">
        <f>Input!C30</f>
        <v>6.  Torbo Wetblast System</v>
      </c>
      <c r="C18" s="12">
        <f>Input!$B$8/Input!D30</f>
        <v>274.72527472527474</v>
      </c>
      <c r="D18">
        <f>IF(Input!$B$23=6,1,0)</f>
        <v>0</v>
      </c>
      <c r="E18" s="52">
        <f>ROUNDUP(C18/((Input!$B$14-2.5)*Input!$B$11),0)</f>
        <v>13</v>
      </c>
      <c r="F18">
        <f t="shared" si="0"/>
        <v>0</v>
      </c>
      <c r="G18">
        <v>6</v>
      </c>
    </row>
    <row r="19" ht="12.75">
      <c r="C19" s="12"/>
    </row>
    <row r="20" ht="12.75">
      <c r="C20" s="12"/>
    </row>
    <row r="21" spans="1:7" ht="12.75">
      <c r="A21" s="1" t="s">
        <v>44</v>
      </c>
      <c r="B21" s="50" t="str">
        <f>Input!C34</f>
        <v>1.  Hand Tool Cleaning</v>
      </c>
      <c r="C21" s="12">
        <f>Input!$B$8*Input!$B$9/Input!D34</f>
        <v>750</v>
      </c>
      <c r="D21">
        <f>IF(Input!$B$32=G21,1,0)</f>
        <v>0</v>
      </c>
      <c r="E21" s="52">
        <f>ROUNDUP(C21/((Input!$B$14-2.5)*Input!$B$11),0)</f>
        <v>35</v>
      </c>
      <c r="F21">
        <f aca="true" t="shared" si="1" ref="F21:F27">(D21*E21)</f>
        <v>0</v>
      </c>
      <c r="G21">
        <v>1</v>
      </c>
    </row>
    <row r="22" spans="2:7" ht="12.75">
      <c r="B22" s="50" t="str">
        <f>Input!C35</f>
        <v>2.  Water Jetting</v>
      </c>
      <c r="C22" s="12">
        <f>Input!$B$8/Input!D35</f>
        <v>184.92902424049652</v>
      </c>
      <c r="D22">
        <f>IF(Input!$B$32=G22,1,0)</f>
        <v>0</v>
      </c>
      <c r="E22" s="52">
        <f>ROUNDUP(C22/((Input!$B$14-2.5)*Input!$B$11),0)</f>
        <v>9</v>
      </c>
      <c r="F22">
        <f t="shared" si="1"/>
        <v>0</v>
      </c>
      <c r="G22">
        <v>2</v>
      </c>
    </row>
    <row r="23" spans="2:7" ht="12.75">
      <c r="B23" s="50" t="str">
        <f>Input!C36</f>
        <v>3.  Brush Blast (expendable grit)</v>
      </c>
      <c r="C23" s="12">
        <f>Input!$B$8/Input!D36</f>
        <v>395.987328405491</v>
      </c>
      <c r="D23">
        <f>IF(Input!$B$32=G23,1,0)</f>
        <v>0</v>
      </c>
      <c r="E23" s="52">
        <f>ROUNDUP(C23/((Input!$B$14-2.5)*Input!$B$11),0)</f>
        <v>18</v>
      </c>
      <c r="F23">
        <f t="shared" si="1"/>
        <v>0</v>
      </c>
      <c r="G23">
        <v>3</v>
      </c>
    </row>
    <row r="24" spans="2:7" ht="12.75">
      <c r="B24" s="50" t="str">
        <f>Input!C37</f>
        <v>4.  Grit Injected Water Jetting</v>
      </c>
      <c r="C24" s="12">
        <f>Input!$B$8/Input!D37</f>
        <v>395.987328405491</v>
      </c>
      <c r="D24">
        <f>IF(Input!$B$32=G24,1,0)</f>
        <v>0</v>
      </c>
      <c r="E24" s="52">
        <f>ROUNDUP(C24/((Input!$B$14-2.5)*Input!$B$11),0)</f>
        <v>18</v>
      </c>
      <c r="F24">
        <f t="shared" si="1"/>
        <v>0</v>
      </c>
      <c r="G24">
        <v>4</v>
      </c>
    </row>
    <row r="25" spans="2:7" ht="12.75">
      <c r="B25" s="50" t="str">
        <f>Input!C38</f>
        <v>5.  Recyclable Steel Grit</v>
      </c>
      <c r="C25" s="12">
        <f>Input!$B$8/Input!D38</f>
        <v>125</v>
      </c>
      <c r="D25">
        <f>IF(Input!$B$32=G25,1,0)</f>
        <v>0</v>
      </c>
      <c r="E25" s="52">
        <f>ROUNDUP(C25/((Input!$B$14-2.5)*Input!$B$11),0)</f>
        <v>6</v>
      </c>
      <c r="F25">
        <f t="shared" si="1"/>
        <v>0</v>
      </c>
      <c r="G25">
        <v>5</v>
      </c>
    </row>
    <row r="26" spans="2:7" ht="12.75">
      <c r="B26" s="50" t="str">
        <f>Input!C39</f>
        <v>6.  Water Injected Blasting (Torbo)</v>
      </c>
      <c r="C26" s="12">
        <f>Input!$B$8/Input!D39</f>
        <v>166.66666666666666</v>
      </c>
      <c r="D26">
        <f>IF(Input!$B$32=G26,1,0)</f>
        <v>0</v>
      </c>
      <c r="E26" s="52">
        <f>ROUNDUP(C26/((Input!$B$14-2.5)*Input!$B$11),0)</f>
        <v>8</v>
      </c>
      <c r="F26">
        <f t="shared" si="1"/>
        <v>0</v>
      </c>
      <c r="G26">
        <v>6</v>
      </c>
    </row>
    <row r="27" spans="2:7" ht="12.75">
      <c r="B27" s="50" t="str">
        <f>Input!C40</f>
        <v>7.  Vacuum Blasting</v>
      </c>
      <c r="C27" s="12">
        <f>Input!$B$8*Input!$B$9/Input!D40</f>
        <v>93.75</v>
      </c>
      <c r="D27">
        <f>IF(Input!$B$32=G27,1,0)</f>
        <v>0</v>
      </c>
      <c r="E27" s="52">
        <f>ROUNDUP(C27/((Input!$B$14-2.5)*Input!$B$11),0)</f>
        <v>5</v>
      </c>
      <c r="F27">
        <f t="shared" si="1"/>
        <v>0</v>
      </c>
      <c r="G27">
        <v>7</v>
      </c>
    </row>
    <row r="28" spans="3:10" ht="12.75">
      <c r="C28" s="12"/>
      <c r="G28" s="50"/>
      <c r="J28" s="6"/>
    </row>
    <row r="29" spans="3:10" ht="12.75">
      <c r="C29" s="12"/>
      <c r="J29" s="6"/>
    </row>
    <row r="30" spans="1:10" ht="12.75">
      <c r="A30" s="1" t="s">
        <v>52</v>
      </c>
      <c r="C30" s="12"/>
      <c r="D30">
        <f>IF(Input!B20="Yes",1,0)</f>
        <v>0</v>
      </c>
      <c r="E30" s="56">
        <f>ROUNDUP((0.85*Input!B8)/(2.5*Input!D27*Input!B11),0)</f>
        <v>11</v>
      </c>
      <c r="F30">
        <f>E30*D30</f>
        <v>0</v>
      </c>
      <c r="J30" s="6"/>
    </row>
    <row r="31" spans="2:10" ht="14.25" customHeight="1">
      <c r="B31" s="12"/>
      <c r="C31" s="55"/>
      <c r="J31" s="6"/>
    </row>
    <row r="32" spans="3:10" ht="12.75">
      <c r="C32" s="12"/>
      <c r="J32" s="6"/>
    </row>
    <row r="33" spans="1:10" ht="12.75">
      <c r="A33" s="1" t="s">
        <v>46</v>
      </c>
      <c r="C33" s="62">
        <f>Input!$B$8/'Cost Variables'!$B$75</f>
        <v>8.333333333333334</v>
      </c>
      <c r="D33">
        <f>IF(Input!B18="Yes",1,0)</f>
        <v>0</v>
      </c>
      <c r="E33" s="52">
        <f>ROUNDUP(C33/((Input!$B$14-2.5)*Input!$B$11),0)</f>
        <v>1</v>
      </c>
      <c r="F33">
        <f>(D33*E33)</f>
        <v>0</v>
      </c>
      <c r="J33" s="6"/>
    </row>
    <row r="34" spans="3:10" ht="12.75">
      <c r="C34" s="55"/>
      <c r="J34" s="6"/>
    </row>
    <row r="35" spans="3:10" ht="12.75">
      <c r="C35" s="12"/>
      <c r="J35" s="6"/>
    </row>
    <row r="36" spans="1:10" ht="12.75">
      <c r="A36" s="1" t="s">
        <v>190</v>
      </c>
      <c r="B36" s="2" t="s">
        <v>40</v>
      </c>
      <c r="C36" s="62">
        <f>Input!$B$8/'Cost Variables'!$B$78</f>
        <v>41.666666666666664</v>
      </c>
      <c r="D36">
        <f>IF(Input!B16="Yes",1,0)</f>
        <v>1</v>
      </c>
      <c r="E36" s="52">
        <f>ROUNDUP(C36/((Input!$B$14-2.5)*Input!$B$11),0)</f>
        <v>2</v>
      </c>
      <c r="F36">
        <f>(D36*E36)</f>
        <v>2</v>
      </c>
      <c r="J36" s="6"/>
    </row>
    <row r="37" spans="3:10" ht="12.75">
      <c r="C37" s="12"/>
      <c r="J37" s="6"/>
    </row>
    <row r="38" spans="3:10" ht="12.75">
      <c r="C38" s="12"/>
      <c r="H38" t="s">
        <v>192</v>
      </c>
      <c r="I38" t="s">
        <v>193</v>
      </c>
      <c r="J38" t="s">
        <v>443</v>
      </c>
    </row>
    <row r="39" spans="1:9" ht="12.75">
      <c r="A39" s="1" t="s">
        <v>3</v>
      </c>
      <c r="B39" s="2" t="str">
        <f>Input!C55</f>
        <v>1.  Brush </v>
      </c>
      <c r="C39" s="12">
        <f>IF(Input!$B$48=1,Time!H39,Time!I39)</f>
        <v>33.333333333333336</v>
      </c>
      <c r="D39">
        <f>IF(Input!$B$48=3,0,IF(Input!$B$48=4,0,(IF(Input!$B$54=G39,1,0))))</f>
        <v>0</v>
      </c>
      <c r="E39" s="52">
        <f>ROUNDUP(C39/((Input!$B$14-2.5)*Input!$B$11),0)</f>
        <v>2</v>
      </c>
      <c r="F39">
        <f aca="true" t="shared" si="2" ref="F39:F44">(D39*E39)</f>
        <v>0</v>
      </c>
      <c r="G39">
        <v>1</v>
      </c>
      <c r="H39" s="62">
        <f>(2*$A$41/Input!$D55)+($B$9/Input!$D55)</f>
        <v>50</v>
      </c>
      <c r="I39" s="62">
        <f>($A$41/Input!$D55)+($B$9/Input!$D55)</f>
        <v>33.333333333333336</v>
      </c>
    </row>
    <row r="40" spans="1:9" ht="12.75">
      <c r="A40" s="7" t="s">
        <v>191</v>
      </c>
      <c r="B40" s="2" t="str">
        <f>Input!C56</f>
        <v>2.  Roller</v>
      </c>
      <c r="C40" s="12">
        <f>IF(Input!$B$48=1,Time!H40,Time!I40)</f>
        <v>26.666666666666668</v>
      </c>
      <c r="D40">
        <f>IF(Input!$B$48=3,0,IF(Input!$B$48=4,0,(IF(Input!$B$54=G40,1,0))))</f>
        <v>0</v>
      </c>
      <c r="E40" s="52">
        <f>ROUNDUP(C40/((Input!$B$14-2.5)*Input!$B$11),0)</f>
        <v>2</v>
      </c>
      <c r="F40">
        <f t="shared" si="2"/>
        <v>0</v>
      </c>
      <c r="G40">
        <v>2</v>
      </c>
      <c r="H40" s="62">
        <f>(2*$A$41/Input!$D56)+($B$9/Input!$D56)</f>
        <v>40</v>
      </c>
      <c r="I40" s="62">
        <f>($A$41/Input!$D56)+($B$9/Input!$D56)</f>
        <v>26.666666666666668</v>
      </c>
    </row>
    <row r="41" spans="1:9" ht="12.75">
      <c r="A41" s="7">
        <f>B8+B10</f>
        <v>25000</v>
      </c>
      <c r="B41" s="2" t="str">
        <f>Input!C57</f>
        <v>3.  Conv Spray</v>
      </c>
      <c r="C41" s="12">
        <f>IF(Input!$B$48=1,Time!H41,Time!I41)</f>
        <v>20.833333333333332</v>
      </c>
      <c r="D41">
        <f>IF(Input!$B$48=3,0,IF(Input!$B$48=4,0,(IF(Input!$B$54=G41,1,0))))</f>
        <v>0</v>
      </c>
      <c r="E41" s="52">
        <f>ROUNDUP(C41/((Input!$B$14-2.5)*Input!$B$11),0)</f>
        <v>1</v>
      </c>
      <c r="F41">
        <f t="shared" si="2"/>
        <v>0</v>
      </c>
      <c r="G41">
        <v>3</v>
      </c>
      <c r="H41" s="62">
        <f>(2*$A$41/Input!$D57)+($B$9/Input!$D57)</f>
        <v>31.25</v>
      </c>
      <c r="I41" s="62">
        <f>($A$41/Input!$D57)+($B$9/Input!$D57)</f>
        <v>20.833333333333332</v>
      </c>
    </row>
    <row r="42" spans="2:10" ht="12.75">
      <c r="B42" s="2" t="str">
        <f>Input!C58</f>
        <v>4.  Airless Spray</v>
      </c>
      <c r="C42" s="12">
        <f>IF(Input!$B$48=1,Time!H42,IF(Input!$B$48=2,Time!I42,Time!J42))</f>
        <v>6.666666666666667</v>
      </c>
      <c r="D42">
        <f>IF(Input!$B$48=3,0,IF(Input!$B$48=4,1,(IF(Input!$B$54=G42,1,0))))</f>
        <v>1</v>
      </c>
      <c r="E42" s="52">
        <f>ROUNDUP(C42/((Input!$B$14-2.5)*Input!$B$11),0)</f>
        <v>1</v>
      </c>
      <c r="F42">
        <f t="shared" si="2"/>
        <v>1</v>
      </c>
      <c r="G42">
        <v>4</v>
      </c>
      <c r="H42" s="62">
        <f>(2*$A$41/Input!$D58)+($B$9/Input!$D58)</f>
        <v>20</v>
      </c>
      <c r="I42" s="62">
        <f>($A$41/Input!$D58)+($B$9/Input!$D58)</f>
        <v>13.333333333333334</v>
      </c>
      <c r="J42" s="62">
        <f>$B$9/Input!$D58</f>
        <v>6.666666666666667</v>
      </c>
    </row>
    <row r="43" spans="2:6" ht="12.75">
      <c r="B43" s="2" t="s">
        <v>53</v>
      </c>
      <c r="C43" s="12">
        <f>$A$41/'Cost Variables'!$B$79</f>
        <v>9.615384615384615</v>
      </c>
      <c r="D43">
        <f>IF(Input!B21="Yes",1,0)</f>
        <v>1</v>
      </c>
      <c r="E43" s="52">
        <f>ROUNDUP(C43/((Input!$B$14-2.5)*Input!$B$11),0)</f>
        <v>1</v>
      </c>
      <c r="F43">
        <f t="shared" si="2"/>
        <v>1</v>
      </c>
    </row>
    <row r="44" spans="2:6" ht="12.75">
      <c r="B44" s="2" t="s">
        <v>437</v>
      </c>
      <c r="C44" s="54">
        <f>$B$9/Input!$D51</f>
        <v>141.7233560090703</v>
      </c>
      <c r="D44">
        <f>IF(Input!$B$48=3,1,IF(Input!$B$48=4,1,0))</f>
        <v>1</v>
      </c>
      <c r="E44" s="52">
        <f>ROUNDUP(C44/((Input!$B$14-2.5)*Input!$B$11),0)</f>
        <v>7</v>
      </c>
      <c r="F44">
        <f t="shared" si="2"/>
        <v>7</v>
      </c>
    </row>
    <row r="45" ht="12.75">
      <c r="C45" s="12"/>
    </row>
    <row r="46" spans="1:3" ht="12.75">
      <c r="A46" s="1" t="s">
        <v>4</v>
      </c>
      <c r="C46" s="12"/>
    </row>
    <row r="47" spans="1:7" ht="12.75">
      <c r="A47" t="s">
        <v>5</v>
      </c>
      <c r="B47" s="2" t="str">
        <f>Input!C45</f>
        <v>3.  Suspended Rigid Platform</v>
      </c>
      <c r="C47" s="12">
        <f>$B$7/Input!$D$45</f>
        <v>31.40625</v>
      </c>
      <c r="D47">
        <f>IF(Input!$B$42=G47,1,0)</f>
        <v>0</v>
      </c>
      <c r="E47" s="52">
        <f>ROUNDUP(C47/((Input!$B$14-2.5)*$B$11),0)</f>
        <v>1</v>
      </c>
      <c r="F47">
        <f>(D47*E47)</f>
        <v>0</v>
      </c>
      <c r="G47">
        <v>3</v>
      </c>
    </row>
    <row r="48" spans="3:5" ht="12.75">
      <c r="C48" s="12"/>
      <c r="E48" s="52"/>
    </row>
    <row r="49" spans="1:3" ht="12.75">
      <c r="A49" t="s">
        <v>6</v>
      </c>
      <c r="C49" s="35"/>
    </row>
    <row r="50" spans="2:3" ht="12.75">
      <c r="B50" s="2" t="s">
        <v>197</v>
      </c>
      <c r="C50" s="12">
        <f>'Cost Variables'!$B$43*$B$7/Input!$D$45</f>
        <v>4.7109375</v>
      </c>
    </row>
    <row r="51" spans="2:8" ht="12.75">
      <c r="B51" s="2" t="str">
        <f>Input!C43</f>
        <v>1.  Lift Trucks</v>
      </c>
      <c r="C51" s="55">
        <f>IF(Input!$B$48=1,3,2)*Input!$D$43*($B$7*(1-'Cost Variables'!$B$43))/'Cost Variables'!$F$42</f>
        <v>26.6953125</v>
      </c>
      <c r="D51">
        <f>IF(Input!$B$42=G51,1,0)</f>
        <v>1</v>
      </c>
      <c r="E51" s="52">
        <f>ROUNDUP((C50+C51)/((Input!$B$14-2.5)*$B$11),0)</f>
        <v>1</v>
      </c>
      <c r="F51">
        <f>(D51*E51)</f>
        <v>1</v>
      </c>
      <c r="G51">
        <v>1</v>
      </c>
      <c r="H51" s="12">
        <f>SUM(C50:C51)</f>
        <v>31.40625</v>
      </c>
    </row>
    <row r="52" spans="2:7" ht="12.75">
      <c r="B52" s="2" t="str">
        <f>Input!C44</f>
        <v>2.  Safe-Span Platform</v>
      </c>
      <c r="C52" s="12">
        <f>$B$7/Input!$D$44</f>
        <v>50.25</v>
      </c>
      <c r="D52">
        <f>IF(Input!$B$42=G52,1,0)</f>
        <v>0</v>
      </c>
      <c r="E52" s="52">
        <f>ROUNDUP(C52/((Input!$B$14-2.5)*$B$11),0)</f>
        <v>2</v>
      </c>
      <c r="F52">
        <f>(D52*E52)</f>
        <v>0</v>
      </c>
      <c r="G52">
        <v>2</v>
      </c>
    </row>
    <row r="53" spans="2:5" ht="25.5">
      <c r="B53" s="2" t="s">
        <v>198</v>
      </c>
      <c r="C53" s="12">
        <f>'Cost Variables'!$B$43*$B$7/Input!$D$45</f>
        <v>4.7109375</v>
      </c>
      <c r="E53" s="52"/>
    </row>
    <row r="54" spans="2:8" ht="12.75">
      <c r="B54" s="2" t="str">
        <f>Input!C46</f>
        <v>4.  ARK Mobile Platform System</v>
      </c>
      <c r="C54" s="55">
        <f>IF(Input!$B$48=1,3,2)*Input!$D$46*($B$7*(1-'Cost Variables'!$B$43))/'Cost Variables'!$F$44</f>
        <v>25.125</v>
      </c>
      <c r="D54">
        <f>IF(Input!$B$42=G54,1,0)</f>
        <v>0</v>
      </c>
      <c r="E54" s="52">
        <f>ROUNDUP((C53+C54)/((Input!$B$14-2.5)*$B$11),0)</f>
        <v>1</v>
      </c>
      <c r="F54">
        <f>(D54*E54)</f>
        <v>0</v>
      </c>
      <c r="G54">
        <v>4</v>
      </c>
      <c r="H54" s="12">
        <f>SUM(C53:C54)</f>
        <v>29.8359375</v>
      </c>
    </row>
    <row r="55" ht="12.75">
      <c r="C55" s="12"/>
    </row>
    <row r="56" ht="12.75">
      <c r="C56" s="12"/>
    </row>
    <row r="57" spans="1:3" ht="12.75">
      <c r="A57" s="1" t="s">
        <v>8</v>
      </c>
      <c r="C57" s="12"/>
    </row>
    <row r="58" spans="1:6" ht="25.5">
      <c r="A58" s="1" t="s">
        <v>0</v>
      </c>
      <c r="B58" s="2" t="s">
        <v>373</v>
      </c>
      <c r="C58" s="12">
        <f>($B$7/'Cost Variables'!$F$42)*'Cost Variables'!$B$49</f>
        <v>5.234375</v>
      </c>
      <c r="D58">
        <f>IF(F21+F27&gt;0,1,0)</f>
        <v>0</v>
      </c>
      <c r="E58" s="52">
        <f>ROUNDUP(C58/((Input!$B$14-2.5)*$B$11),0)</f>
        <v>1</v>
      </c>
      <c r="F58">
        <f>(D58*E58)</f>
        <v>0</v>
      </c>
    </row>
    <row r="59" ht="12.75"/>
    <row r="60" spans="1:6" ht="12.75">
      <c r="A60" s="1" t="s">
        <v>26</v>
      </c>
      <c r="B60" s="43" t="s">
        <v>374</v>
      </c>
      <c r="C60" s="12">
        <f>($B$7/'Cost Variables'!$F$42)*'Cost Variables'!$B$50</f>
        <v>20.9375</v>
      </c>
      <c r="D60">
        <f>IF(F15+F13+F14+F23+F25&gt;0,1,0)</f>
        <v>1</v>
      </c>
      <c r="E60" s="52">
        <f>ROUNDUP(C60/((Input!$B$14-2.5)*$B$11),0)</f>
        <v>1</v>
      </c>
      <c r="F60">
        <f>(D60*E60)</f>
        <v>1</v>
      </c>
    </row>
    <row r="61" spans="2:6" ht="12.75">
      <c r="B61" s="43" t="s">
        <v>201</v>
      </c>
      <c r="C61" s="12">
        <f>($B$7/'Cost Variables'!$F$42)*'Cost Variables'!$B$51</f>
        <v>10.46875</v>
      </c>
      <c r="D61">
        <f>IF(F16+F17+F18+F22+F24+F26&gt;0,1,0)</f>
        <v>0</v>
      </c>
      <c r="E61" s="52">
        <f>ROUNDUP(C61/((Input!$B$14-2.5)*$B$11),0)</f>
        <v>1</v>
      </c>
      <c r="F61">
        <f>(D61*E61)</f>
        <v>0</v>
      </c>
    </row>
    <row r="62" spans="3:5" ht="12.75">
      <c r="C62" s="12"/>
      <c r="E62" s="52"/>
    </row>
    <row r="63" ht="12.75">
      <c r="C63" s="12"/>
    </row>
    <row r="64" ht="12.75"/>
    <row r="65" spans="1:6" ht="25.5">
      <c r="A65" t="s">
        <v>13</v>
      </c>
      <c r="B65" s="2" t="s">
        <v>205</v>
      </c>
      <c r="C65" s="12">
        <f>5*Input!$B$14*Time!$B$11</f>
        <v>280</v>
      </c>
      <c r="D65">
        <v>1</v>
      </c>
      <c r="E65" s="52">
        <f>ROUNDUP(C65/((Input!$B$14-2.5)*$B$11),0)</f>
        <v>8</v>
      </c>
      <c r="F65">
        <f>(D65*E65)</f>
        <v>8</v>
      </c>
    </row>
    <row r="66" ht="12.75"/>
    <row r="67" ht="12.75"/>
    <row r="68" spans="5:10" ht="12.75">
      <c r="E68" s="23" t="s">
        <v>16</v>
      </c>
      <c r="F68" s="66">
        <f>IF(Input!$B$20="yes",F30,SUM(F13:F65))</f>
        <v>33</v>
      </c>
      <c r="G68" s="21" t="s">
        <v>63</v>
      </c>
      <c r="H68" s="22"/>
      <c r="I68" s="20">
        <f>ROUNDUP(F68/16,0)</f>
        <v>3</v>
      </c>
      <c r="J68" s="21" t="s">
        <v>64</v>
      </c>
    </row>
    <row r="69" spans="1:6" ht="12.75">
      <c r="A69" s="1"/>
      <c r="E69" s="24"/>
      <c r="F69" s="65"/>
    </row>
    <row r="70" ht="12.75">
      <c r="A70" t="s">
        <v>304</v>
      </c>
    </row>
    <row r="71" spans="2:6" ht="12.75">
      <c r="B71" s="2" t="s">
        <v>218</v>
      </c>
      <c r="F71">
        <f>IF(F30&gt;0,F30,F15+F25)</f>
        <v>0</v>
      </c>
    </row>
    <row r="72" spans="2:6" ht="12.75">
      <c r="B72" s="2" t="s">
        <v>220</v>
      </c>
      <c r="F72">
        <f>F16+F22</f>
        <v>0</v>
      </c>
    </row>
    <row r="73" spans="2:6" ht="12.75">
      <c r="B73" s="2" t="s">
        <v>221</v>
      </c>
      <c r="F73">
        <f>F13+F23</f>
        <v>12</v>
      </c>
    </row>
    <row r="74" spans="2:6" ht="12.75">
      <c r="B74" s="2" t="s">
        <v>222</v>
      </c>
      <c r="F74">
        <f>F17+F24</f>
        <v>0</v>
      </c>
    </row>
    <row r="75" spans="1:6" ht="12.75">
      <c r="A75" s="1"/>
      <c r="B75" s="2" t="s">
        <v>223</v>
      </c>
      <c r="F75">
        <f>F18+F26</f>
        <v>0</v>
      </c>
    </row>
    <row r="77" ht="12.75">
      <c r="A77" s="64"/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"/>
  <dimension ref="A1:M69"/>
  <sheetViews>
    <sheetView workbookViewId="0" topLeftCell="A16">
      <selection activeCell="C36" sqref="C36"/>
    </sheetView>
  </sheetViews>
  <sheetFormatPr defaultColWidth="9.140625" defaultRowHeight="12.75"/>
  <cols>
    <col min="1" max="1" width="19.28125" style="7" customWidth="1"/>
    <col min="2" max="2" width="12.7109375" style="25" customWidth="1"/>
    <col min="3" max="3" width="14.57421875" style="7" customWidth="1"/>
    <col min="4" max="4" width="12.7109375" style="7" customWidth="1"/>
    <col min="5" max="5" width="11.7109375" style="7" customWidth="1"/>
    <col min="6" max="7" width="10.00390625" style="7" customWidth="1"/>
    <col min="8" max="8" width="9.140625" style="7" customWidth="1"/>
  </cols>
  <sheetData>
    <row r="1" spans="1:9" ht="12.75">
      <c r="A1" s="34" t="s">
        <v>102</v>
      </c>
      <c r="B1" s="33"/>
      <c r="C1" s="32"/>
      <c r="D1" s="32"/>
      <c r="E1" s="32"/>
      <c r="F1" s="32"/>
      <c r="G1" s="32"/>
      <c r="H1" s="32"/>
      <c r="I1" s="32"/>
    </row>
    <row r="2" spans="1:9" ht="12.75">
      <c r="A2" s="34"/>
      <c r="B2" s="33"/>
      <c r="C2" s="32"/>
      <c r="D2" s="32"/>
      <c r="E2" s="32"/>
      <c r="F2" s="32"/>
      <c r="G2" s="32"/>
      <c r="H2" s="32"/>
      <c r="I2" s="32"/>
    </row>
    <row r="3" spans="1:9" ht="12.75">
      <c r="A3" s="34" t="s">
        <v>206</v>
      </c>
      <c r="B3" s="33"/>
      <c r="C3" s="32"/>
      <c r="D3" s="32"/>
      <c r="E3" s="32"/>
      <c r="F3" s="32"/>
      <c r="G3" s="32"/>
      <c r="H3" s="32"/>
      <c r="I3" s="32"/>
    </row>
    <row r="4" spans="1:13" s="67" customFormat="1" ht="25.5">
      <c r="A4" s="26" t="s">
        <v>214</v>
      </c>
      <c r="B4" s="26" t="s">
        <v>376</v>
      </c>
      <c r="C4" s="26" t="s">
        <v>130</v>
      </c>
      <c r="D4" s="26" t="s">
        <v>216</v>
      </c>
      <c r="E4" s="26" t="s">
        <v>42</v>
      </c>
      <c r="F4" s="26" t="s">
        <v>209</v>
      </c>
      <c r="G4" s="26" t="s">
        <v>208</v>
      </c>
      <c r="I4" s="26"/>
      <c r="J4" s="26"/>
      <c r="K4" s="26"/>
      <c r="L4" s="26"/>
      <c r="M4" s="26"/>
    </row>
    <row r="5" spans="1:13" ht="12.75">
      <c r="A5" s="69" t="s">
        <v>28</v>
      </c>
      <c r="B5" s="70">
        <f>'Cost Variables'!$B$80</f>
        <v>0.5</v>
      </c>
      <c r="C5" s="79">
        <f>Time!$B$9</f>
        <v>25000</v>
      </c>
      <c r="D5" s="76">
        <f>B5*C5/2000</f>
        <v>6.25</v>
      </c>
      <c r="E5" s="7">
        <f>IF(OR(Input!$B$23=3,Input!$B$32=5),1,0)</f>
        <v>0</v>
      </c>
      <c r="G5" s="78">
        <f>D5*E5</f>
        <v>0</v>
      </c>
      <c r="I5" s="7"/>
      <c r="J5" s="25"/>
      <c r="K5" s="7"/>
      <c r="L5" s="7"/>
      <c r="M5" s="7"/>
    </row>
    <row r="6" spans="1:13" ht="12.75">
      <c r="A6" s="53" t="s">
        <v>377</v>
      </c>
      <c r="B6" s="70">
        <f>'Cost Variables'!$B$81</f>
        <v>10</v>
      </c>
      <c r="C6" s="79">
        <f>Time!$B$9</f>
        <v>25000</v>
      </c>
      <c r="D6" s="76">
        <f>B6*C6/2000</f>
        <v>125</v>
      </c>
      <c r="E6" s="7">
        <f>IF(OR(Input!$B$23=1,Input!$B$32=3),1,0)</f>
        <v>1</v>
      </c>
      <c r="G6" s="78">
        <f>D6*E6</f>
        <v>125</v>
      </c>
      <c r="I6" s="7"/>
      <c r="J6" s="25"/>
      <c r="K6" s="7"/>
      <c r="L6" s="7"/>
      <c r="M6" s="7"/>
    </row>
    <row r="7" spans="1:13" ht="12.75">
      <c r="A7" s="53" t="s">
        <v>210</v>
      </c>
      <c r="B7" s="70">
        <f>'Cost Variables'!$B$85</f>
        <v>1</v>
      </c>
      <c r="C7" s="79">
        <f>Time!$B$9</f>
        <v>25000</v>
      </c>
      <c r="D7" s="76">
        <f>B7*C7/2000</f>
        <v>12.5</v>
      </c>
      <c r="E7" s="7">
        <f>IF(OR(Input!$B$23=5,Input!$B$32=4),1,0)</f>
        <v>0</v>
      </c>
      <c r="G7" s="78">
        <f>D7*E7</f>
        <v>0</v>
      </c>
      <c r="I7" s="7"/>
      <c r="J7" s="25"/>
      <c r="K7" s="7"/>
      <c r="L7" s="7"/>
      <c r="M7" s="7"/>
    </row>
    <row r="8" spans="1:13" ht="12.75">
      <c r="A8" s="53" t="s">
        <v>211</v>
      </c>
      <c r="B8" s="70">
        <f>'Cost Variables'!$B$86</f>
        <v>3</v>
      </c>
      <c r="C8" s="79">
        <f>Time!$B$9</f>
        <v>25000</v>
      </c>
      <c r="D8" s="76">
        <f>B8*C8/2000</f>
        <v>37.5</v>
      </c>
      <c r="E8" s="7">
        <f>IF(OR(Input!$B$23=6,Input!$B$32=6),1,0)</f>
        <v>0</v>
      </c>
      <c r="G8" s="78">
        <f>D8*E8</f>
        <v>0</v>
      </c>
      <c r="I8" s="7"/>
      <c r="J8" s="25"/>
      <c r="K8" s="7"/>
      <c r="L8" s="7"/>
      <c r="M8" s="7"/>
    </row>
    <row r="9" spans="1:13" ht="12.75">
      <c r="A9" s="53" t="s">
        <v>226</v>
      </c>
      <c r="B9" s="68">
        <f>'Cost Variables'!$B$88</f>
        <v>1</v>
      </c>
      <c r="C9" s="79">
        <f>Time!$B$9</f>
        <v>25000</v>
      </c>
      <c r="D9" s="76">
        <f>B9*C9/2000</f>
        <v>12.5</v>
      </c>
      <c r="E9" s="7">
        <f>IF(Input!$B$32=7,1,0)</f>
        <v>0</v>
      </c>
      <c r="G9" s="78">
        <f>D9*E9</f>
        <v>0</v>
      </c>
      <c r="I9" s="7"/>
      <c r="J9" s="25"/>
      <c r="K9" s="7"/>
      <c r="L9" s="7"/>
      <c r="M9" s="7"/>
    </row>
    <row r="10" spans="1:13" s="1" customFormat="1" ht="25.5">
      <c r="A10" s="27" t="s">
        <v>11</v>
      </c>
      <c r="B10" s="26" t="s">
        <v>73</v>
      </c>
      <c r="C10" s="26" t="s">
        <v>130</v>
      </c>
      <c r="D10" s="26" t="s">
        <v>217</v>
      </c>
      <c r="I10" s="27"/>
      <c r="J10" s="26"/>
      <c r="K10" s="27"/>
      <c r="L10" s="27"/>
      <c r="M10" s="27"/>
    </row>
    <row r="11" spans="1:13" ht="12.75">
      <c r="A11" s="53" t="s">
        <v>215</v>
      </c>
      <c r="B11" s="72">
        <f>IF(Input!$B$23=4,'Cost Variables'!$D$82,'Cost Variables'!$F$82)</f>
        <v>1.331488974531575</v>
      </c>
      <c r="C11" s="79">
        <f>Time!$B$9</f>
        <v>25000</v>
      </c>
      <c r="D11" s="80">
        <f>B11*C11</f>
        <v>33287.22436328937</v>
      </c>
      <c r="E11" s="7">
        <f>IF(OR(Input!$B$23=4,Input!$B$32=2),1,0)</f>
        <v>0</v>
      </c>
      <c r="F11" s="81">
        <f>D11*E11</f>
        <v>0</v>
      </c>
      <c r="I11" s="7"/>
      <c r="J11" s="7"/>
      <c r="K11" s="7"/>
      <c r="L11" s="7"/>
      <c r="M11" s="7"/>
    </row>
    <row r="12" spans="1:13" ht="12.75">
      <c r="A12" s="53" t="s">
        <v>190</v>
      </c>
      <c r="B12" s="73">
        <f>'Cost Variables'!$B$83</f>
        <v>0.15</v>
      </c>
      <c r="C12" s="79">
        <f>Time!$B$9</f>
        <v>25000</v>
      </c>
      <c r="D12" s="80">
        <f>B12*C12</f>
        <v>3750</v>
      </c>
      <c r="E12" s="7">
        <f>IF(Input!$B$16="yes",1,0)</f>
        <v>1</v>
      </c>
      <c r="F12" s="81">
        <f>D12*E12</f>
        <v>3750</v>
      </c>
      <c r="I12" s="28"/>
      <c r="J12" s="7"/>
      <c r="K12" s="7"/>
      <c r="L12" s="7"/>
      <c r="M12" s="7"/>
    </row>
    <row r="13" spans="1:13" ht="12.75">
      <c r="A13" s="53" t="s">
        <v>212</v>
      </c>
      <c r="B13" s="72">
        <f>'Cost Variables'!B84</f>
        <v>0.1233</v>
      </c>
      <c r="C13" s="79">
        <f>Time!$B$9</f>
        <v>25000</v>
      </c>
      <c r="D13" s="80">
        <f>B13*C13</f>
        <v>3082.5</v>
      </c>
      <c r="E13" s="7">
        <f>IF(OR(Input!$B$23=5,Input!$B$32=4),1,0)</f>
        <v>0</v>
      </c>
      <c r="F13" s="81">
        <f>D13*E13</f>
        <v>0</v>
      </c>
      <c r="I13" s="28"/>
      <c r="J13" s="7"/>
      <c r="K13" s="7"/>
      <c r="L13" s="7"/>
      <c r="M13" s="7"/>
    </row>
    <row r="14" spans="1:13" ht="12.75">
      <c r="A14" s="53" t="s">
        <v>213</v>
      </c>
      <c r="B14" s="72">
        <f>'Cost Variables'!B87</f>
        <v>0.12</v>
      </c>
      <c r="C14" s="79">
        <f>Time!$B$9</f>
        <v>25000</v>
      </c>
      <c r="D14" s="80">
        <f>B14*C14</f>
        <v>3000</v>
      </c>
      <c r="E14" s="7">
        <f>IF(OR(Input!$B$23=6,Input!$B$32=6),1,0)</f>
        <v>0</v>
      </c>
      <c r="F14" s="81">
        <f>D14*E14</f>
        <v>0</v>
      </c>
      <c r="I14" s="28"/>
      <c r="J14" s="7"/>
      <c r="K14" s="7"/>
      <c r="L14" s="7"/>
      <c r="M14" s="7"/>
    </row>
    <row r="15" spans="1:13" ht="12.75">
      <c r="A15" s="53"/>
      <c r="B15" s="71"/>
      <c r="I15" s="28"/>
      <c r="J15" s="7"/>
      <c r="K15" s="7"/>
      <c r="L15" s="7"/>
      <c r="M15" s="7"/>
    </row>
    <row r="16" spans="1:13" ht="12.75">
      <c r="A16" s="53"/>
      <c r="B16" s="71"/>
      <c r="E16" s="31" t="s">
        <v>43</v>
      </c>
      <c r="F16" s="79">
        <f>SUM(F5:F14)</f>
        <v>3750</v>
      </c>
      <c r="I16" s="28"/>
      <c r="J16" s="7"/>
      <c r="K16" s="7"/>
      <c r="L16" s="7"/>
      <c r="M16" s="7"/>
    </row>
    <row r="17" spans="1:13" ht="12.75">
      <c r="A17" s="53"/>
      <c r="B17" s="53"/>
      <c r="C17" s="53"/>
      <c r="E17" s="31" t="s">
        <v>378</v>
      </c>
      <c r="G17" s="78">
        <f>SUM(G6:G14)</f>
        <v>125</v>
      </c>
      <c r="I17" s="7"/>
      <c r="J17" s="7"/>
      <c r="K17" s="7"/>
      <c r="L17" s="7"/>
      <c r="M17" s="7"/>
    </row>
    <row r="18" spans="1:13" ht="12.75">
      <c r="A18" s="53"/>
      <c r="B18" s="53"/>
      <c r="C18" s="53"/>
      <c r="I18" s="7"/>
      <c r="J18" s="7"/>
      <c r="K18" s="7"/>
      <c r="L18" s="7"/>
      <c r="M18" s="7"/>
    </row>
    <row r="20" spans="1:9" ht="12.75">
      <c r="A20" s="34" t="s">
        <v>207</v>
      </c>
      <c r="B20" s="33"/>
      <c r="C20" s="32"/>
      <c r="D20" s="32"/>
      <c r="E20" s="32"/>
      <c r="F20" s="32"/>
      <c r="G20" s="32"/>
      <c r="H20" s="32"/>
      <c r="I20" s="32"/>
    </row>
    <row r="22" spans="1:7" ht="38.25">
      <c r="A22" s="27" t="s">
        <v>76</v>
      </c>
      <c r="B22" s="26" t="s">
        <v>241</v>
      </c>
      <c r="C22" s="26" t="s">
        <v>227</v>
      </c>
      <c r="D22" s="26" t="s">
        <v>239</v>
      </c>
      <c r="E22" s="26" t="s">
        <v>228</v>
      </c>
      <c r="F22" s="26" t="s">
        <v>17</v>
      </c>
      <c r="G22" s="26" t="s">
        <v>229</v>
      </c>
    </row>
    <row r="23" spans="1:7" ht="12.75">
      <c r="A23" s="83" t="s">
        <v>46</v>
      </c>
      <c r="B23" s="75">
        <f>'Cost Variables'!$B$76</f>
        <v>80</v>
      </c>
      <c r="C23" s="84">
        <f>Input!$B$8</f>
        <v>25000</v>
      </c>
      <c r="D23" s="7" t="s">
        <v>240</v>
      </c>
      <c r="E23" s="78">
        <f>'Cost Variables'!$B$98*C23/B23</f>
        <v>312.5</v>
      </c>
      <c r="F23" s="7">
        <f>IF(Input!$B$18="yes",1,0)</f>
        <v>0</v>
      </c>
      <c r="G23" s="78">
        <f>E23*F23</f>
        <v>0</v>
      </c>
    </row>
    <row r="24" spans="1:12" ht="12.75">
      <c r="A24" s="27" t="s">
        <v>230</v>
      </c>
      <c r="B24" s="26"/>
      <c r="H24" s="27"/>
      <c r="I24" s="27"/>
      <c r="J24" s="27"/>
      <c r="K24" s="27"/>
      <c r="L24" s="27"/>
    </row>
    <row r="25" spans="1:12" ht="12.75">
      <c r="A25" s="31" t="s">
        <v>66</v>
      </c>
      <c r="B25" s="75">
        <f>'Cost Variables'!$B$89</f>
        <v>400</v>
      </c>
      <c r="C25" s="79">
        <f>Time!$B$9</f>
        <v>25000</v>
      </c>
      <c r="D25" s="7" t="str">
        <f>IF(Input!$B$54=1,"Brush",IF(Input!$B$54=2,"Roll",IF(Input!$B$54=3,"Conventional",IF(Input!$B$54=4,"Airless",0))))</f>
        <v>Airless</v>
      </c>
      <c r="E25" s="78">
        <f>VLOOKUP(D25,'Cost Variables'!$A$95:$B$98,2)*C25/B25</f>
        <v>62.5</v>
      </c>
      <c r="F25" s="7">
        <f>IF(Input!$B$48=3,0,IF(Input!$B$48=4,0,1))</f>
        <v>0</v>
      </c>
      <c r="G25" s="78">
        <f>E25*F25</f>
        <v>0</v>
      </c>
      <c r="I25" s="28"/>
      <c r="J25" s="7"/>
      <c r="K25" s="7"/>
      <c r="L25" s="7"/>
    </row>
    <row r="26" spans="1:7" ht="12.75">
      <c r="A26" s="31" t="s">
        <v>65</v>
      </c>
      <c r="B26" s="75">
        <f>'Cost Variables'!$B$89</f>
        <v>400</v>
      </c>
      <c r="C26" s="84">
        <f>Input!$B$8</f>
        <v>25000</v>
      </c>
      <c r="D26" s="7" t="str">
        <f>IF(Input!$B$54=1,"Brush",IF(Input!$B$54=2,"Roll",IF(Input!$B$54=3,"Conventional",IF(Input!$B$54=4,"Airless",0))))</f>
        <v>Airless</v>
      </c>
      <c r="E26" s="78">
        <f>VLOOKUP(D26,'Cost Variables'!$A$95:$B$98,2)*C26/B26</f>
        <v>62.5</v>
      </c>
      <c r="F26" s="7">
        <f>IF(Input!$B$48=3,0,IF(Input!$B$48=4,0,IF(Input!$B$48=1,2,1)))</f>
        <v>0</v>
      </c>
      <c r="G26" s="78">
        <f>E26*F26</f>
        <v>0</v>
      </c>
    </row>
    <row r="27" spans="1:7" ht="12.75">
      <c r="A27" s="31" t="s">
        <v>442</v>
      </c>
      <c r="B27" s="75">
        <f>'Cost Variables'!$B$89</f>
        <v>400</v>
      </c>
      <c r="C27" s="84">
        <f>Input!$B$8</f>
        <v>25000</v>
      </c>
      <c r="D27" s="7" t="s">
        <v>240</v>
      </c>
      <c r="E27" s="78">
        <f>VLOOKUP(D27,'Cost Variables'!$A$95:$B$98,2)*C27/B27</f>
        <v>62.5</v>
      </c>
      <c r="F27" s="7">
        <f>IF(Input!$B$48=4,1,0)</f>
        <v>1</v>
      </c>
      <c r="G27" s="78">
        <f>E27*F27</f>
        <v>62.5</v>
      </c>
    </row>
    <row r="28" spans="1:7" ht="12.75">
      <c r="A28" s="31"/>
      <c r="B28" s="75"/>
      <c r="C28" s="84"/>
      <c r="E28" s="78"/>
      <c r="G28" s="78"/>
    </row>
    <row r="29" spans="1:7" ht="12.75">
      <c r="A29" s="31"/>
      <c r="B29" s="172" t="s">
        <v>433</v>
      </c>
      <c r="C29" s="173" t="s">
        <v>166</v>
      </c>
      <c r="D29" s="27"/>
      <c r="E29" s="174" t="s">
        <v>441</v>
      </c>
      <c r="G29" s="174" t="s">
        <v>441</v>
      </c>
    </row>
    <row r="30" spans="1:7" ht="12.75">
      <c r="A30" s="31" t="s">
        <v>437</v>
      </c>
      <c r="B30" s="171">
        <f>'Cost Variables'!$B$91</f>
        <v>0.4701</v>
      </c>
      <c r="C30" s="84">
        <f>Input!$B$8</f>
        <v>25000</v>
      </c>
      <c r="E30" s="168">
        <f>B30*C30</f>
        <v>11752.5</v>
      </c>
      <c r="F30" s="7">
        <f>IF(Input!$B$48=3,1,IF(Input!$B$48=4,1,0))</f>
        <v>1</v>
      </c>
      <c r="G30" s="78">
        <f>E30*F30</f>
        <v>11752.5</v>
      </c>
    </row>
    <row r="31" spans="1:5" ht="12.75">
      <c r="A31" s="27"/>
      <c r="C31" s="28"/>
      <c r="E31" s="28"/>
    </row>
    <row r="32" spans="1:7" ht="12.75">
      <c r="A32" s="27" t="s">
        <v>12</v>
      </c>
      <c r="B32" s="26" t="s">
        <v>29</v>
      </c>
      <c r="C32" s="27" t="s">
        <v>245</v>
      </c>
      <c r="E32" s="27"/>
      <c r="F32" s="27"/>
      <c r="G32" s="27" t="s">
        <v>30</v>
      </c>
    </row>
    <row r="33" spans="2:7" ht="12.75">
      <c r="B33" s="75">
        <f>'Cost Variables'!B90</f>
        <v>120</v>
      </c>
      <c r="C33" s="79">
        <f>Time!$F$68</f>
        <v>33</v>
      </c>
      <c r="E33" s="78">
        <f>B33*C33</f>
        <v>3960</v>
      </c>
      <c r="F33" s="7">
        <v>1</v>
      </c>
      <c r="G33" s="28">
        <f>E33*F33</f>
        <v>3960</v>
      </c>
    </row>
    <row r="35" spans="1:8" s="2" customFormat="1" ht="25.5">
      <c r="A35" s="82" t="s">
        <v>250</v>
      </c>
      <c r="B35" s="26" t="s">
        <v>130</v>
      </c>
      <c r="C35" s="26" t="s">
        <v>251</v>
      </c>
      <c r="D35" s="26" t="s">
        <v>252</v>
      </c>
      <c r="E35" s="26" t="s">
        <v>379</v>
      </c>
      <c r="F35" s="26" t="s">
        <v>68</v>
      </c>
      <c r="H35" s="25"/>
    </row>
    <row r="36" spans="1:7" ht="12.75">
      <c r="A36" s="7" t="s">
        <v>2</v>
      </c>
      <c r="B36" s="79">
        <f>Time!$B$9</f>
        <v>25000</v>
      </c>
      <c r="C36" s="28">
        <f>'Cost Variables'!B56</f>
        <v>17.5</v>
      </c>
      <c r="D36" s="78">
        <f>B36*(C36/1000)/12</f>
        <v>36.458333333333336</v>
      </c>
      <c r="E36" s="28">
        <f>'Cost Variables'!B57</f>
        <v>2.5</v>
      </c>
      <c r="F36" s="86">
        <f>D36*E36*(62.4/2000)</f>
        <v>2.84375</v>
      </c>
      <c r="G36" s="27"/>
    </row>
    <row r="37" spans="3:4" ht="12.75">
      <c r="C37" s="25"/>
      <c r="D37" s="25"/>
    </row>
    <row r="38" spans="1:4" ht="12.75">
      <c r="A38" s="30" t="s">
        <v>255</v>
      </c>
      <c r="B38" s="87" t="s">
        <v>256</v>
      </c>
      <c r="C38" s="27" t="s">
        <v>257</v>
      </c>
      <c r="D38" s="88" t="s">
        <v>258</v>
      </c>
    </row>
    <row r="39" spans="2:4" ht="12.75">
      <c r="B39" s="29">
        <f>$G$23</f>
        <v>0</v>
      </c>
      <c r="C39" s="78">
        <f>'Cost Variables'!$B$77</f>
        <v>8.28</v>
      </c>
      <c r="D39" s="78">
        <f>B39*C39/2000</f>
        <v>0</v>
      </c>
    </row>
    <row r="42" spans="1:4" ht="12.75">
      <c r="A42" s="30" t="s">
        <v>259</v>
      </c>
      <c r="C42" s="85">
        <f>F36+G5+G17+D39</f>
        <v>127.84375</v>
      </c>
      <c r="D42" s="53" t="s">
        <v>258</v>
      </c>
    </row>
    <row r="43" spans="1:4" ht="12.75">
      <c r="A43" s="30" t="s">
        <v>260</v>
      </c>
      <c r="C43" s="81">
        <f>F16</f>
        <v>3750</v>
      </c>
      <c r="D43" s="53" t="s">
        <v>261</v>
      </c>
    </row>
    <row r="46" ht="12.75">
      <c r="A46" s="89"/>
    </row>
    <row r="47" ht="12.75">
      <c r="A47" s="27"/>
    </row>
    <row r="50" spans="3:4" ht="12.75">
      <c r="C50" s="25"/>
      <c r="D50" s="25"/>
    </row>
    <row r="58" ht="12.75">
      <c r="A58" s="27"/>
    </row>
    <row r="63" ht="12.75">
      <c r="A63" s="27"/>
    </row>
    <row r="69" ht="12.75">
      <c r="A69" s="2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"/>
  <dimension ref="A1:M100"/>
  <sheetViews>
    <sheetView tabSelected="1" workbookViewId="0" topLeftCell="A4">
      <selection activeCell="B44" sqref="B44"/>
    </sheetView>
  </sheetViews>
  <sheetFormatPr defaultColWidth="9.140625" defaultRowHeight="12.75"/>
  <cols>
    <col min="1" max="1" width="36.140625" style="0" customWidth="1"/>
    <col min="2" max="2" width="12.7109375" style="0" customWidth="1"/>
    <col min="3" max="3" width="11.140625" style="0" customWidth="1"/>
    <col min="4" max="4" width="11.421875" style="0" customWidth="1"/>
    <col min="5" max="5" width="12.140625" style="0" customWidth="1"/>
    <col min="6" max="6" width="13.57421875" style="0" customWidth="1"/>
    <col min="7" max="7" width="14.57421875" style="0" customWidth="1"/>
    <col min="8" max="8" width="11.140625" style="0" customWidth="1"/>
    <col min="9" max="9" width="10.7109375" style="0" bestFit="1" customWidth="1"/>
    <col min="10" max="10" width="12.7109375" style="0" bestFit="1" customWidth="1"/>
    <col min="11" max="11" width="12.28125" style="0" bestFit="1" customWidth="1"/>
    <col min="12" max="12" width="11.57421875" style="0" customWidth="1"/>
  </cols>
  <sheetData>
    <row r="1" spans="1:13" ht="15">
      <c r="A1" s="184" t="s">
        <v>103</v>
      </c>
      <c r="B1" s="184"/>
      <c r="C1" s="184"/>
      <c r="D1" s="184"/>
      <c r="E1" s="184"/>
      <c r="F1" s="184"/>
      <c r="G1" s="27"/>
      <c r="H1" s="27"/>
      <c r="I1" s="27"/>
      <c r="J1" s="32"/>
      <c r="K1" s="32"/>
      <c r="L1" s="32"/>
      <c r="M1" s="32"/>
    </row>
    <row r="2" spans="1:13" ht="12.75">
      <c r="A2" s="1" t="s">
        <v>78</v>
      </c>
      <c r="B2" s="27"/>
      <c r="C2" s="27"/>
      <c r="D2" s="27"/>
      <c r="E2" s="27"/>
      <c r="F2" s="27"/>
      <c r="G2" s="27"/>
      <c r="H2" s="27"/>
      <c r="I2" s="27"/>
      <c r="J2" s="32"/>
      <c r="K2" s="32"/>
      <c r="L2" s="32"/>
      <c r="M2" s="32"/>
    </row>
    <row r="3" spans="1:13" s="2" customFormat="1" ht="38.25">
      <c r="A3" s="77" t="s">
        <v>262</v>
      </c>
      <c r="B3" s="26" t="s">
        <v>32</v>
      </c>
      <c r="C3" s="26" t="s">
        <v>296</v>
      </c>
      <c r="D3" s="26" t="s">
        <v>297</v>
      </c>
      <c r="E3" s="26" t="s">
        <v>298</v>
      </c>
      <c r="F3" s="26" t="s">
        <v>299</v>
      </c>
      <c r="G3"/>
      <c r="H3"/>
      <c r="I3"/>
      <c r="J3"/>
      <c r="K3"/>
      <c r="L3"/>
      <c r="M3"/>
    </row>
    <row r="4" spans="1:6" ht="12.75">
      <c r="A4" t="str">
        <f>'Cost Variables'!A4</f>
        <v>Recyclable Steel Grit Rig - 4 outlet</v>
      </c>
      <c r="B4" s="4">
        <f>-'Cost Variables'!G4</f>
        <v>7480.275897066668</v>
      </c>
      <c r="C4">
        <f>IF(OR(Input!$B$23=3,Input!$B$32=5,Input!$B$20="yes"),1,0)</f>
        <v>0</v>
      </c>
      <c r="D4">
        <f>ROUNDUP(Time!$F$71/'Cost Variables'!$B$28,0)</f>
        <v>0</v>
      </c>
      <c r="E4">
        <f>ROUNDUP(Input!$B$11/4,0)</f>
        <v>1</v>
      </c>
      <c r="F4" s="103">
        <f>B4*C4*D4*E4</f>
        <v>0</v>
      </c>
    </row>
    <row r="5" spans="1:6" ht="12.75">
      <c r="A5" t="str">
        <f>'Cost Variables'!A5</f>
        <v>UHP (10 GPM) - 2 outlet</v>
      </c>
      <c r="B5" s="4">
        <f>-'Cost Variables'!G5</f>
        <v>6233.563247555557</v>
      </c>
      <c r="C5" s="98" t="s">
        <v>300</v>
      </c>
      <c r="D5" s="98" t="s">
        <v>300</v>
      </c>
      <c r="E5" s="98" t="s">
        <v>300</v>
      </c>
      <c r="F5" s="98" t="s">
        <v>300</v>
      </c>
    </row>
    <row r="6" spans="1:6" ht="12.75">
      <c r="A6" t="str">
        <f>'Cost Variables'!A6</f>
        <v>WJ Crawler/w vac.</v>
      </c>
      <c r="B6" s="4">
        <f>-'Cost Variables'!G6</f>
        <v>6233.563247555557</v>
      </c>
      <c r="C6" s="98" t="s">
        <v>300</v>
      </c>
      <c r="D6" s="98" t="s">
        <v>300</v>
      </c>
      <c r="E6" s="98" t="s">
        <v>300</v>
      </c>
      <c r="F6" s="98" t="s">
        <v>300</v>
      </c>
    </row>
    <row r="7" spans="1:6" ht="12.75">
      <c r="A7" t="str">
        <f>'Cost Variables'!A7</f>
        <v>UHP (6 GPM) - 2 outlet</v>
      </c>
      <c r="B7" s="4">
        <f>-'Cost Variables'!G7</f>
        <v>4207.655192100001</v>
      </c>
      <c r="C7">
        <f>IF(OR(Input!$B$23=4,Input!$B$32=2),1,0)</f>
        <v>0</v>
      </c>
      <c r="D7">
        <f>ROUNDUP(Time!$F$72/'Cost Variables'!$B$28,0)</f>
        <v>0</v>
      </c>
      <c r="E7">
        <f>ROUNDUP(Input!$B$11/2,0)</f>
        <v>2</v>
      </c>
      <c r="F7" s="103">
        <f aca="true" t="shared" si="0" ref="F7:F13">B7*C7*D7*E7</f>
        <v>0</v>
      </c>
    </row>
    <row r="8" spans="1:6" ht="12.75">
      <c r="A8" t="str">
        <f>'Cost Variables'!A8</f>
        <v>Compressor - for 3 crewmen</v>
      </c>
      <c r="B8" s="4">
        <f>-'Cost Variables'!G8</f>
        <v>2337.5862178333336</v>
      </c>
      <c r="C8" s="98">
        <v>1</v>
      </c>
      <c r="D8">
        <f>ROUNDUP(Time!$F$68/'Cost Variables'!$B$28,0)</f>
        <v>3</v>
      </c>
      <c r="E8">
        <f>ROUNDUP(Input!$B$11/3,0)</f>
        <v>2</v>
      </c>
      <c r="F8" s="103">
        <f t="shared" si="0"/>
        <v>14025.517307000002</v>
      </c>
    </row>
    <row r="9" spans="1:6" ht="12.75">
      <c r="A9" t="str">
        <f>'Cost Variables'!A9</f>
        <v>Grit Blast Rig - 4 outlet</v>
      </c>
      <c r="B9" s="4">
        <f>-'Cost Variables'!G9</f>
        <v>2181.7471366444447</v>
      </c>
      <c r="C9">
        <f>IF(OR(Input!$B$23=1,Input!$B$32=3),1,0)</f>
        <v>1</v>
      </c>
      <c r="D9">
        <f>ROUNDUP(Time!$F$73/'Cost Variables'!$B$28,0)</f>
        <v>1</v>
      </c>
      <c r="E9">
        <f>ROUNDUP(Input!$B$11/4,0)</f>
        <v>1</v>
      </c>
      <c r="F9" s="103">
        <f t="shared" si="0"/>
        <v>2181.7471366444447</v>
      </c>
    </row>
    <row r="10" spans="1:6" ht="12.75">
      <c r="A10" t="str">
        <f>'Cost Variables'!A10</f>
        <v>ElectroStrip Machine</v>
      </c>
      <c r="B10" s="4">
        <f>-'Cost Variables'!G10</f>
        <v>2119.4115041688888</v>
      </c>
      <c r="C10">
        <f>IF(Input!$B$23=2,1,0)</f>
        <v>0</v>
      </c>
      <c r="D10">
        <f>ROUNDUP(Time!$F$14/'Cost Variables'!$B$28,0)</f>
        <v>0</v>
      </c>
      <c r="E10" s="98">
        <v>1</v>
      </c>
      <c r="F10" s="103">
        <f t="shared" si="0"/>
        <v>0</v>
      </c>
    </row>
    <row r="11" spans="1:6" ht="12.75">
      <c r="A11" t="str">
        <f>'Cost Variables'!A11</f>
        <v>AIWB (Grit Injection Rig) - 2 outlet</v>
      </c>
      <c r="B11" s="4">
        <f>-'Cost Variables'!G11</f>
        <v>1862.2770202072222</v>
      </c>
      <c r="C11">
        <f>IF(OR(Input!$B$23=5,Input!$B$32=4),1,0)</f>
        <v>0</v>
      </c>
      <c r="D11">
        <f>ROUNDUP(Time!$F$74/'Cost Variables'!$B$28,0)</f>
        <v>0</v>
      </c>
      <c r="E11">
        <f>ROUNDUP(Input!$B$11/2,0)</f>
        <v>2</v>
      </c>
      <c r="F11" s="103">
        <f t="shared" si="0"/>
        <v>0</v>
      </c>
    </row>
    <row r="12" spans="1:6" ht="12.75">
      <c r="A12" t="str">
        <f>'Cost Variables'!A12</f>
        <v>Water Washing - 4 outlet</v>
      </c>
      <c r="B12" s="4">
        <f>-'Cost Variables'!G12</f>
        <v>1714.2298930777781</v>
      </c>
      <c r="C12">
        <f>IF(Input!$B$16="yes",1,0)</f>
        <v>1</v>
      </c>
      <c r="D12">
        <f>ROUNDUP(Time!$F$36/'Cost Variables'!$B$28,0)</f>
        <v>1</v>
      </c>
      <c r="E12">
        <f>ROUNDUP(Input!$B$11/4,0)</f>
        <v>1</v>
      </c>
      <c r="F12" s="103">
        <f t="shared" si="0"/>
        <v>1714.2298930777781</v>
      </c>
    </row>
    <row r="13" spans="1:6" ht="12.75">
      <c r="A13" t="str">
        <f>'Cost Variables'!A13</f>
        <v>Torbo System - single outlet</v>
      </c>
      <c r="B13" s="4">
        <f>-'Cost Variables'!G13</f>
        <v>1055.030579648778</v>
      </c>
      <c r="C13">
        <f>IF(OR(Input!$B$23=6,Input!$B$32=6),1,0)</f>
        <v>0</v>
      </c>
      <c r="D13">
        <f>ROUNDUP(Time!$F$75/'Cost Variables'!$B$28,0)</f>
        <v>0</v>
      </c>
      <c r="E13">
        <f>ROUNDUP(Input!$B$11,0)</f>
        <v>4</v>
      </c>
      <c r="F13" s="103">
        <f t="shared" si="0"/>
        <v>0</v>
      </c>
    </row>
    <row r="14" spans="1:6" ht="12.75">
      <c r="A14" t="str">
        <f>'Cost Variables'!A14</f>
        <v>Airless (high solids)</v>
      </c>
      <c r="B14" s="4">
        <f>-'Cost Variables'!G14</f>
        <v>255.10857590621112</v>
      </c>
      <c r="C14" s="98" t="s">
        <v>300</v>
      </c>
      <c r="D14" s="98" t="s">
        <v>300</v>
      </c>
      <c r="E14" s="98" t="s">
        <v>300</v>
      </c>
      <c r="F14" s="98" t="s">
        <v>300</v>
      </c>
    </row>
    <row r="15" spans="1:6" ht="12.75">
      <c r="A15" t="str">
        <f>'Cost Variables'!A15</f>
        <v>Generator (100 kW)</v>
      </c>
      <c r="B15" s="4">
        <f>-'Cost Variables'!G15</f>
        <v>779.1954059444446</v>
      </c>
      <c r="C15" s="175">
        <f>IF(Input!$B$48=3,1,IF(Input!$B$48=4,1,0))</f>
        <v>1</v>
      </c>
      <c r="D15">
        <f>ROUNDUP(IF(Time!$D$30=1,Time!$F$30/'Cost Variables'!$B$28,Time!$F$44/'Cost Variables'!$B$28),0)</f>
        <v>1</v>
      </c>
      <c r="E15">
        <f>ROUNDUP(Input!$B$11/2,0)</f>
        <v>2</v>
      </c>
      <c r="F15" s="103">
        <f aca="true" t="shared" si="1" ref="F15:F22">B15*C15*D15*E15</f>
        <v>1558.3908118888892</v>
      </c>
    </row>
    <row r="16" spans="1:6" ht="12.75">
      <c r="A16" t="str">
        <f>'Cost Variables'!A16</f>
        <v>Airless Spray (regular)</v>
      </c>
      <c r="B16" s="4">
        <f>-'Cost Variables'!G16</f>
        <v>180.30581693554444</v>
      </c>
      <c r="C16" s="175">
        <f>IF(Input!$B$48=3,0,IF(Input!$B$48=4,1,IF(Input!$B$54=4,1,0)))</f>
        <v>1</v>
      </c>
      <c r="D16">
        <f>ROUNDUP(IF(Time!$D$30=1,Time!$F$30/'Cost Variables'!$B$28,Time!$F$42/'Cost Variables'!$B$28),0)</f>
        <v>1</v>
      </c>
      <c r="E16">
        <f>IF(Input!B20="yes",ROUNDUP(Input!B11,0),ROUNDUP(Input!B11/2,0))</f>
        <v>2</v>
      </c>
      <c r="F16" s="103">
        <f t="shared" si="1"/>
        <v>360.6116338710889</v>
      </c>
    </row>
    <row r="17" spans="1:6" ht="12.75">
      <c r="A17" t="str">
        <f>'Cost Variables'!A17</f>
        <v>Convention Sprayer</v>
      </c>
      <c r="B17" s="4">
        <f>-'Cost Variables'!G17</f>
        <v>54.10732898878223</v>
      </c>
      <c r="C17" s="175">
        <f>IF(Input!$B$48=3,0,IF(Input!$B$48-4,0,IF(Input!$B$54=3,1,0)))</f>
        <v>0</v>
      </c>
      <c r="D17">
        <f>ROUNDUP(IF(Time!$D$30=1,Time!$F$30/'Cost Variables'!$B$28,Time!$F$41/'Cost Variables'!$B$28),0)</f>
        <v>0</v>
      </c>
      <c r="E17">
        <f>ROUNDUP(Input!$B$11/4,0)</f>
        <v>1</v>
      </c>
      <c r="F17" s="103">
        <f t="shared" si="1"/>
        <v>0</v>
      </c>
    </row>
    <row r="18" spans="1:6" ht="12.75">
      <c r="A18" t="str">
        <f>'Cost Variables'!A18</f>
        <v>Generator (2.25 kW) - for 6 crewmen</v>
      </c>
      <c r="B18" s="4">
        <f>-'Cost Variables'!G18</f>
        <v>31.16781623777778</v>
      </c>
      <c r="C18" s="98">
        <v>1</v>
      </c>
      <c r="D18">
        <f>ROUNDUP(Time!$F$68/'Cost Variables'!$B$28,0)</f>
        <v>3</v>
      </c>
      <c r="E18">
        <f>ROUNDUP(SUM(Input!$B$10:$B$12)/6,0)</f>
        <v>2</v>
      </c>
      <c r="F18" s="103">
        <f t="shared" si="1"/>
        <v>187.00689742666668</v>
      </c>
    </row>
    <row r="19" spans="1:6" ht="12.75">
      <c r="A19" t="str">
        <f>'Cost Variables'!A19</f>
        <v>Moister Separator</v>
      </c>
      <c r="B19" s="4">
        <f>-'Cost Variables'!G19</f>
        <v>22.59666677238889</v>
      </c>
      <c r="C19" s="98">
        <v>0</v>
      </c>
      <c r="D19">
        <f>$D$8</f>
        <v>3</v>
      </c>
      <c r="E19">
        <f>$E$8</f>
        <v>2</v>
      </c>
      <c r="F19" s="103">
        <f t="shared" si="1"/>
        <v>0</v>
      </c>
    </row>
    <row r="20" spans="1:6" ht="12.75">
      <c r="A20" t="str">
        <f>'Cost Variables'!A20</f>
        <v>Blast Hoods B-88's</v>
      </c>
      <c r="B20" s="4">
        <f>-'Cost Variables'!G20</f>
        <v>19.573388597324445</v>
      </c>
      <c r="C20">
        <f>IF(OR(C4=1,C9=1,C13=1),1,0)</f>
        <v>1</v>
      </c>
      <c r="D20">
        <f>$D$34</f>
        <v>1</v>
      </c>
      <c r="E20">
        <f>ROUNDUP(Input!$B$11,0)</f>
        <v>4</v>
      </c>
      <c r="F20" s="103">
        <f t="shared" si="1"/>
        <v>78.29355438929778</v>
      </c>
    </row>
    <row r="21" spans="1:6" ht="12.75">
      <c r="A21" t="str">
        <f>'Cost Variables'!A21</f>
        <v>Misc. Hand Tools</v>
      </c>
      <c r="B21" s="4">
        <f>-'Cost Variables'!G21</f>
        <v>119.99609251544446</v>
      </c>
      <c r="C21">
        <f>IF(Input!$B$32=1,1,0)</f>
        <v>0</v>
      </c>
      <c r="D21">
        <f>ROUNDUP(IF(Time!$D$30=1,Time!$F$30/'Cost Variables'!$B$28,Time!$F$21/'Cost Variables'!$B$28),0)</f>
        <v>0</v>
      </c>
      <c r="E21">
        <f>ROUNDUP(Input!$B$11,0)</f>
        <v>4</v>
      </c>
      <c r="F21" s="103">
        <f t="shared" si="1"/>
        <v>0</v>
      </c>
    </row>
    <row r="22" spans="1:6" ht="12.75">
      <c r="A22" t="str">
        <f>'Cost Variables'!A22</f>
        <v>Vacuum Blast Rig - 4 outlet</v>
      </c>
      <c r="B22" s="4">
        <f>-'Cost Variables'!G22</f>
        <v>2999.9023128861113</v>
      </c>
      <c r="C22">
        <f>IF(Input!$B$32=7,1,0)</f>
        <v>0</v>
      </c>
      <c r="D22">
        <f>ROUNDUP(Time!$F$27/'Cost Variables'!$B$28,0)</f>
        <v>0</v>
      </c>
      <c r="E22">
        <f>ROUNDUP(Input!$B$11/4,0)</f>
        <v>1</v>
      </c>
      <c r="F22" s="103">
        <f t="shared" si="1"/>
        <v>0</v>
      </c>
    </row>
    <row r="23" spans="1:6" ht="12.75">
      <c r="A23" t="str">
        <f>'Cost Variables'!A23</f>
        <v>Vacuum Truck</v>
      </c>
      <c r="B23" s="4">
        <f>-'Cost Variables'!G23</f>
        <v>2025.9080554555558</v>
      </c>
      <c r="C23">
        <f>IF(OR(Input!$B$23=1,Input!$B$32=3),1,0)</f>
        <v>1</v>
      </c>
      <c r="D23">
        <f>$D$9</f>
        <v>1</v>
      </c>
      <c r="E23" s="98">
        <v>1</v>
      </c>
      <c r="F23" s="103">
        <f>B23*C23*D23*E23</f>
        <v>2025.9080554555558</v>
      </c>
    </row>
    <row r="24" spans="1:6" ht="12.75">
      <c r="A24" t="str">
        <f>'Cost Variables'!A24</f>
        <v>Decon Trailer - for leadwork</v>
      </c>
      <c r="B24" s="4">
        <f>-'Cost Variables'!G24</f>
        <v>748.0275897066668</v>
      </c>
      <c r="C24">
        <f>IF(Input!$B$15="yes",1,0)</f>
        <v>1</v>
      </c>
      <c r="D24">
        <f>$D$25</f>
        <v>3</v>
      </c>
      <c r="E24">
        <f>IF(Input!B15="yes",1,0)</f>
        <v>1</v>
      </c>
      <c r="F24" s="103">
        <f>B24*C24*D24*E24</f>
        <v>2244.0827691200006</v>
      </c>
    </row>
    <row r="25" spans="1:6" ht="12.75">
      <c r="A25" t="str">
        <f>'Cost Variables'!A25</f>
        <v>Truck MPT/Towing for 4 crewmen</v>
      </c>
      <c r="B25" s="4">
        <f>-'Cost Variables'!G25</f>
        <v>779.1954059444446</v>
      </c>
      <c r="C25" s="98">
        <v>1</v>
      </c>
      <c r="D25">
        <f>ROUNDUP(Time!$F$68/'Cost Variables'!$B$28,0)</f>
        <v>3</v>
      </c>
      <c r="E25">
        <f>ROUNDUP(Input!$B$11/4,0)</f>
        <v>1</v>
      </c>
      <c r="F25" s="103">
        <f>B25*C25*D25*E25</f>
        <v>2337.5862178333336</v>
      </c>
    </row>
    <row r="26" spans="1:6" ht="12.75">
      <c r="A26" t="str">
        <f>'Cost Variables'!A26</f>
        <v>Arc Spray Metallizing unit</v>
      </c>
      <c r="B26" s="4">
        <f>-'Cost Variables'!G26</f>
        <v>872.6988546577779</v>
      </c>
      <c r="C26" s="175">
        <f>IF(Input!$B$48=3,1,IF(Input!$B$48=4,1,0))</f>
        <v>1</v>
      </c>
      <c r="D26">
        <f>ROUNDUP(IF(Time!$D$30=1,Time!$F$30/'Cost Variables'!$B$28,Time!$F$44/'Cost Variables'!$B$28),0)</f>
        <v>1</v>
      </c>
      <c r="E26">
        <f>ROUNDUP(Input!$B$11,0)</f>
        <v>4</v>
      </c>
      <c r="F26" s="103">
        <f>B26*C26*D26*E26</f>
        <v>3490.7954186311117</v>
      </c>
    </row>
    <row r="27" spans="2:6" ht="12.75">
      <c r="B27" s="4"/>
      <c r="E27" s="31" t="s">
        <v>309</v>
      </c>
      <c r="F27" s="3">
        <f>SUM(F4:F26)</f>
        <v>30204.169695338165</v>
      </c>
    </row>
    <row r="28" spans="2:6" ht="12.75">
      <c r="B28" s="4"/>
      <c r="F28" s="48"/>
    </row>
    <row r="29" spans="1:6" ht="12.75">
      <c r="A29" s="1" t="s">
        <v>266</v>
      </c>
      <c r="F29" s="103"/>
    </row>
    <row r="30" spans="1:6" ht="38.25">
      <c r="A30" s="77" t="s">
        <v>262</v>
      </c>
      <c r="B30" s="26" t="s">
        <v>32</v>
      </c>
      <c r="C30" s="26" t="s">
        <v>296</v>
      </c>
      <c r="D30" s="26" t="s">
        <v>297</v>
      </c>
      <c r="E30" s="26" t="s">
        <v>298</v>
      </c>
      <c r="F30" s="26" t="s">
        <v>299</v>
      </c>
    </row>
    <row r="31" spans="1:6" ht="12.75">
      <c r="A31" t="str">
        <f>'Cost Variables'!A31</f>
        <v>ARK System (2 crewmen per section)</v>
      </c>
      <c r="B31" s="4">
        <f>-'Cost Variables'!G31</f>
        <v>451.93333544777784</v>
      </c>
      <c r="C31">
        <f>IF(Input!$B$42=4,1,0)</f>
        <v>0</v>
      </c>
      <c r="D31">
        <f>$D$25</f>
        <v>3</v>
      </c>
      <c r="E31">
        <f>ROUNDUP(Input!$B$11/2,0)</f>
        <v>2</v>
      </c>
      <c r="F31" s="103">
        <f>B31*C31*D31*E31</f>
        <v>0</v>
      </c>
    </row>
    <row r="32" spans="1:6" ht="12.75">
      <c r="A32" t="str">
        <f>'Cost Variables'!A32</f>
        <v>Ark Overpass Master</v>
      </c>
      <c r="B32" s="4">
        <f>-'Cost Variables'!G32</f>
        <v>2334.469436209556</v>
      </c>
      <c r="C32" s="98" t="s">
        <v>300</v>
      </c>
      <c r="D32" s="98" t="s">
        <v>300</v>
      </c>
      <c r="E32" s="98" t="s">
        <v>300</v>
      </c>
      <c r="F32" s="98" t="s">
        <v>300</v>
      </c>
    </row>
    <row r="33" spans="1:6" ht="12.75">
      <c r="A33" t="str">
        <f>'Cost Variables'!A33</f>
        <v>Lift Truck for 4 crewmen</v>
      </c>
      <c r="B33" s="4">
        <f>-'Cost Variables'!G33</f>
        <v>2181.7471366444447</v>
      </c>
      <c r="C33">
        <f>IF(Input!$B$42=1,1,0)</f>
        <v>1</v>
      </c>
      <c r="D33">
        <f>$D$25</f>
        <v>3</v>
      </c>
      <c r="E33">
        <f>ROUNDUP(Input!$B$11/4,0)</f>
        <v>1</v>
      </c>
      <c r="F33" s="103">
        <f aca="true" t="shared" si="2" ref="F33:F38">B33*C33*D33*E33</f>
        <v>6545.241409933335</v>
      </c>
    </row>
    <row r="34" spans="1:6" ht="12.75">
      <c r="A34" t="str">
        <f>'Cost Variables'!A34</f>
        <v>Dust Collector</v>
      </c>
      <c r="B34" s="4">
        <f>-'Cost Variables'!G34</f>
        <v>2337.5862178333336</v>
      </c>
      <c r="C34">
        <f>IF(OR(Input!$B$23=1,Input!$B$23=3,Input!$B$32=3,Input!$B$32=5,Input!$B$20="yes"),1,0)</f>
        <v>1</v>
      </c>
      <c r="D34">
        <f>($C$4*$D$4)+($C$9*$D$9)</f>
        <v>1</v>
      </c>
      <c r="E34">
        <f>IF(C4=1,E4,0)+IF(C9=1,E9,0)</f>
        <v>1</v>
      </c>
      <c r="F34" s="103">
        <f t="shared" si="2"/>
        <v>2337.5862178333336</v>
      </c>
    </row>
    <row r="35" spans="1:6" ht="12.75">
      <c r="A35" t="str">
        <f>'Cost Variables'!A35</f>
        <v>D/H Unit</v>
      </c>
      <c r="B35" s="4">
        <f>-'Cost Variables'!G35</f>
        <v>785.4289691920001</v>
      </c>
      <c r="C35">
        <f>IF(Input!$B$17="yes",1,0)</f>
        <v>0</v>
      </c>
      <c r="D35">
        <f>$D$25</f>
        <v>3</v>
      </c>
      <c r="E35" s="98">
        <v>1</v>
      </c>
      <c r="F35" s="103">
        <f t="shared" si="2"/>
        <v>0</v>
      </c>
    </row>
    <row r="36" spans="1:6" ht="12.75">
      <c r="A36" t="s">
        <v>301</v>
      </c>
      <c r="B36" s="4">
        <v>1</v>
      </c>
      <c r="C36">
        <f>IF(OR(C31,C33)&gt;0,1,0)</f>
        <v>1</v>
      </c>
      <c r="D36" s="98">
        <v>1</v>
      </c>
      <c r="E36" s="62">
        <f>'Cost Variables'!$B$43*Time!$B$7</f>
        <v>1507.5</v>
      </c>
      <c r="F36" s="103">
        <f t="shared" si="2"/>
        <v>1507.5</v>
      </c>
    </row>
    <row r="37" spans="1:6" ht="12.75">
      <c r="A37" t="s">
        <v>31</v>
      </c>
      <c r="B37" s="4">
        <f>$B$42</f>
        <v>0.4</v>
      </c>
      <c r="C37">
        <f>IF(Input!$B$42=2,1,0)</f>
        <v>0</v>
      </c>
      <c r="D37">
        <f>IF($D$25&lt;3,3,$D$25)</f>
        <v>3</v>
      </c>
      <c r="E37" s="101">
        <f>IF(Time!$B$7&lt;30000,Time!B7,30000)</f>
        <v>10050</v>
      </c>
      <c r="F37" s="103">
        <f t="shared" si="2"/>
        <v>0</v>
      </c>
    </row>
    <row r="38" spans="1:6" ht="12.75">
      <c r="A38" t="s">
        <v>302</v>
      </c>
      <c r="B38" s="4">
        <f>'Cost Variables'!B36*5000</f>
        <v>5000</v>
      </c>
      <c r="C38">
        <f>IF(Input!$B$42=3,1,0)</f>
        <v>0</v>
      </c>
      <c r="D38" s="98">
        <v>1</v>
      </c>
      <c r="E38" s="101">
        <f>ROUNDUP(Time!$B$7/5000,0)</f>
        <v>3</v>
      </c>
      <c r="F38" s="103">
        <f t="shared" si="2"/>
        <v>0</v>
      </c>
    </row>
    <row r="39" spans="5:6" ht="12.75">
      <c r="E39" s="31" t="s">
        <v>310</v>
      </c>
      <c r="F39" s="3">
        <f>SUM(F31:F38)</f>
        <v>10390.327627766668</v>
      </c>
    </row>
    <row r="40" ht="12.75">
      <c r="F40" s="3"/>
    </row>
    <row r="41" spans="2:6" ht="12.75">
      <c r="B41" s="181" t="s">
        <v>71</v>
      </c>
      <c r="C41" s="182"/>
      <c r="D41" s="182"/>
      <c r="E41" s="182"/>
      <c r="F41" s="183"/>
    </row>
    <row r="42" spans="2:6" ht="12.75">
      <c r="B42" s="104">
        <f>IF(Input!$B$8&lt;50000,$B$44,IF(Input!$B$8&lt;100000,$B$45,$B$46))</f>
        <v>0.4</v>
      </c>
      <c r="C42" s="19"/>
      <c r="D42" s="19"/>
      <c r="E42" s="19"/>
      <c r="F42" s="18"/>
    </row>
    <row r="43" spans="2:6" ht="12.75">
      <c r="B43" s="102" t="s">
        <v>61</v>
      </c>
      <c r="C43" s="15" t="s">
        <v>54</v>
      </c>
      <c r="D43" s="16" t="s">
        <v>55</v>
      </c>
      <c r="E43" s="16" t="s">
        <v>56</v>
      </c>
      <c r="F43" s="16" t="s">
        <v>57</v>
      </c>
    </row>
    <row r="44" spans="2:12" ht="12.75">
      <c r="B44" s="17">
        <f>IF($D$37&lt;9,D44,IF($D$37&lt;17,E44,F44))</f>
        <v>0.4</v>
      </c>
      <c r="C44" s="16" t="s">
        <v>58</v>
      </c>
      <c r="D44" s="14">
        <v>0.4</v>
      </c>
      <c r="E44" s="14">
        <v>0.36</v>
      </c>
      <c r="F44" s="14">
        <v>0.32</v>
      </c>
      <c r="H44" s="90"/>
      <c r="I44" s="91"/>
      <c r="J44" s="92"/>
      <c r="K44" s="92"/>
      <c r="L44" s="92"/>
    </row>
    <row r="45" spans="2:12" ht="12.75">
      <c r="B45" s="17">
        <f>IF($D$37&lt;9,D45,IF($D$37&lt;17,E45,F45))</f>
        <v>0.35</v>
      </c>
      <c r="C45" s="16" t="s">
        <v>59</v>
      </c>
      <c r="D45" s="14">
        <v>0.35</v>
      </c>
      <c r="E45" s="14">
        <v>0.32</v>
      </c>
      <c r="F45" s="14">
        <v>0.28</v>
      </c>
      <c r="H45" s="90"/>
      <c r="I45" s="91"/>
      <c r="J45" s="92"/>
      <c r="K45" s="92"/>
      <c r="L45" s="92"/>
    </row>
    <row r="46" spans="2:12" ht="12.75">
      <c r="B46" s="17">
        <f>IF($D$37&lt;9,D46,IF($D$37&lt;17,E46,F46))</f>
        <v>0.3</v>
      </c>
      <c r="C46" s="16" t="s">
        <v>60</v>
      </c>
      <c r="D46" s="14">
        <v>0.3</v>
      </c>
      <c r="E46" s="14">
        <v>0.27</v>
      </c>
      <c r="F46" s="14">
        <v>0.24</v>
      </c>
      <c r="H46" s="90"/>
      <c r="I46" s="91"/>
      <c r="J46" s="92"/>
      <c r="K46" s="92"/>
      <c r="L46" s="92"/>
    </row>
    <row r="47" spans="6:12" ht="12.75">
      <c r="F47" s="3"/>
      <c r="H47" s="90"/>
      <c r="I47" s="91"/>
      <c r="J47" s="92"/>
      <c r="K47" s="92"/>
      <c r="L47" s="92"/>
    </row>
    <row r="48" spans="1:6" ht="12.75">
      <c r="A48" s="1" t="s">
        <v>263</v>
      </c>
      <c r="F48" s="3"/>
    </row>
    <row r="49" spans="2:6" ht="12.75">
      <c r="B49" s="1" t="s">
        <v>35</v>
      </c>
      <c r="C49" s="1" t="s">
        <v>34</v>
      </c>
      <c r="D49" s="1" t="s">
        <v>33</v>
      </c>
      <c r="E49" s="1" t="s">
        <v>308</v>
      </c>
      <c r="F49" s="1"/>
    </row>
    <row r="50" spans="1:7" ht="12.75">
      <c r="A50" t="str">
        <f>CONCATENATE('Cost Variables'!A62," (per ",'Cost Variables'!C62,")")</f>
        <v>Steel Grit (per Ton)</v>
      </c>
      <c r="B50" s="5">
        <f>'Cost Variables'!$B$62</f>
        <v>300</v>
      </c>
      <c r="C50" s="105">
        <f>Materials!G5</f>
        <v>0</v>
      </c>
      <c r="D50" s="106">
        <f>B50*C50</f>
        <v>0</v>
      </c>
      <c r="E50" s="9"/>
      <c r="G50" s="4"/>
    </row>
    <row r="51" spans="1:4" ht="12.75">
      <c r="A51" t="str">
        <f>CONCATENATE('Cost Variables'!A63," (per ",'Cost Variables'!C63,")")</f>
        <v>Slag Grit (per Ton)</v>
      </c>
      <c r="B51" s="5">
        <f>'Cost Variables'!$B$63</f>
        <v>60</v>
      </c>
      <c r="C51" s="105">
        <f>IF(Input!$B$19="No",Materials!$G$17,0)</f>
        <v>125</v>
      </c>
      <c r="D51" s="106">
        <f aca="true" t="shared" si="3" ref="D51:D58">B51*C51</f>
        <v>7500</v>
      </c>
    </row>
    <row r="52" spans="1:4" ht="12.75">
      <c r="A52" t="str">
        <f>CONCATENATE('Cost Variables'!A64," (per ",'Cost Variables'!C64,")")</f>
        <v>Grit with Blastox (per Ton)</v>
      </c>
      <c r="B52" s="5">
        <f>'Cost Variables'!$B$64</f>
        <v>148</v>
      </c>
      <c r="C52" s="105">
        <f>IF(Input!$B$19="Yes",Materials!$G$17,0)</f>
        <v>0</v>
      </c>
      <c r="D52" s="106">
        <f t="shared" si="3"/>
        <v>0</v>
      </c>
    </row>
    <row r="53" spans="1:5" ht="12.75">
      <c r="A53" t="str">
        <f>CONCATENATE('Cost Variables'!A65," (per ",'Cost Variables'!C65,")")</f>
        <v>Pretox (per Gallon)</v>
      </c>
      <c r="B53" s="5">
        <f>'Cost Variables'!$B$65</f>
        <v>19.95</v>
      </c>
      <c r="C53" s="105">
        <f>IF(Input!$B$18="yes",Materials!$G$23,0)</f>
        <v>0</v>
      </c>
      <c r="D53" s="106">
        <f t="shared" si="3"/>
        <v>0</v>
      </c>
      <c r="E53" s="9"/>
    </row>
    <row r="54" spans="1:4" ht="12.75">
      <c r="A54" t="str">
        <f>CONCATENATE('Cost Variables'!A66," (per ",'Cost Variables'!C66,")")</f>
        <v>Water (per Gallon)</v>
      </c>
      <c r="B54" s="5">
        <f>'Cost Variables'!$B$66</f>
        <v>0.027</v>
      </c>
      <c r="C54" s="105">
        <f>Materials!$F$16</f>
        <v>3750</v>
      </c>
      <c r="D54" s="106">
        <f t="shared" si="3"/>
        <v>101.25</v>
      </c>
    </row>
    <row r="55" spans="1:4" ht="12.75">
      <c r="A55" t="str">
        <f>CONCATENATE('Cost Variables'!A67," (per ",'Cost Variables'!C67,")")</f>
        <v>Paint (per Gallon)</v>
      </c>
      <c r="B55" s="5">
        <f>'Cost Variables'!$B$67</f>
        <v>30</v>
      </c>
      <c r="C55" s="105">
        <f>SUM(Materials!G25:G27)</f>
        <v>62.5</v>
      </c>
      <c r="D55" s="106">
        <f t="shared" si="3"/>
        <v>1875</v>
      </c>
    </row>
    <row r="56" spans="1:4" ht="12.75">
      <c r="A56" t="s">
        <v>444</v>
      </c>
      <c r="B56" s="5">
        <f>'Cost Variables'!$B$70</f>
        <v>1.8</v>
      </c>
      <c r="C56" s="105">
        <f>Materials!G30</f>
        <v>11752.5</v>
      </c>
      <c r="D56" s="106">
        <f t="shared" si="3"/>
        <v>21154.5</v>
      </c>
    </row>
    <row r="57" spans="1:4" ht="12.75">
      <c r="A57" t="str">
        <f>CONCATENATE('Cost Variables'!A68," (per ",'Cost Variables'!C68,")")</f>
        <v>Fuel (per Gallon)</v>
      </c>
      <c r="B57" s="5">
        <f>'Cost Variables'!$B$68</f>
        <v>1.3</v>
      </c>
      <c r="C57" s="105">
        <f>Materials!G33</f>
        <v>3960</v>
      </c>
      <c r="D57" s="106">
        <f t="shared" si="3"/>
        <v>5148</v>
      </c>
    </row>
    <row r="58" spans="1:4" ht="12.75">
      <c r="A58" t="str">
        <f>CONCATENATE('Cost Variables'!A69," (per ",'Cost Variables'!C69,")")</f>
        <v>Other Misc. Items (per Day (misc. sundries each day))</v>
      </c>
      <c r="B58" s="5">
        <f>'Cost Variables'!$B$69</f>
        <v>200</v>
      </c>
      <c r="C58" s="105">
        <f>Time!F68</f>
        <v>33</v>
      </c>
      <c r="D58" s="106">
        <f t="shared" si="3"/>
        <v>6600</v>
      </c>
    </row>
    <row r="59" spans="5:6" ht="12.75">
      <c r="E59" s="31" t="s">
        <v>322</v>
      </c>
      <c r="F59" s="3">
        <f>SUM(D50:D58)</f>
        <v>42378.75</v>
      </c>
    </row>
    <row r="60" ht="12.75">
      <c r="F60" t="s">
        <v>2</v>
      </c>
    </row>
    <row r="61" ht="12.75">
      <c r="A61" s="1" t="s">
        <v>264</v>
      </c>
    </row>
    <row r="62" spans="2:5" ht="25.5">
      <c r="B62" s="27" t="s">
        <v>35</v>
      </c>
      <c r="C62" s="27" t="s">
        <v>34</v>
      </c>
      <c r="D62" s="26" t="s">
        <v>296</v>
      </c>
      <c r="E62" s="27" t="s">
        <v>299</v>
      </c>
    </row>
    <row r="63" spans="1:5" ht="12.75">
      <c r="A63" s="4" t="str">
        <f>'Cost Variables'!A102</f>
        <v>Barrel for solid waste disposal</v>
      </c>
      <c r="B63" s="4">
        <f>'Cost Variables'!B102</f>
        <v>30</v>
      </c>
      <c r="C63" s="62">
        <f>ROUNDUP(Materials!C42*2000/300,0)</f>
        <v>853</v>
      </c>
      <c r="D63">
        <f>IF(Materials!C42&gt;0,1,0)</f>
        <v>1</v>
      </c>
      <c r="E63" s="4">
        <f>B63*C63*D63</f>
        <v>25590</v>
      </c>
    </row>
    <row r="64" spans="1:5" ht="12.75">
      <c r="A64" s="4" t="str">
        <f>'Cost Variables'!A103</f>
        <v>Hazardous material disposal</v>
      </c>
      <c r="B64" s="4">
        <f>'Cost Variables'!B103</f>
        <v>180</v>
      </c>
      <c r="C64" s="62">
        <f>Materials!C42</f>
        <v>127.84375</v>
      </c>
      <c r="D64">
        <f>IF(Input!B15="no",0,IF(Input!B18="yes",0,IF(Input!B19="yes",0,1)))</f>
        <v>1</v>
      </c>
      <c r="E64" s="4">
        <f>B64*C64*D64</f>
        <v>23011.875</v>
      </c>
    </row>
    <row r="65" spans="1:5" ht="12.75">
      <c r="A65" s="4" t="str">
        <f>'Cost Variables'!A104</f>
        <v>Non-hazardous material disposal</v>
      </c>
      <c r="B65" s="4">
        <f>'Cost Variables'!B104</f>
        <v>60</v>
      </c>
      <c r="C65" s="62">
        <f>Materials!C42</f>
        <v>127.84375</v>
      </c>
      <c r="D65">
        <f>IF(Input!B15="no",1,IF(Input!B18="yes",1,IF(Input!B19="yes",1,0)))</f>
        <v>0</v>
      </c>
      <c r="E65" s="4">
        <f>B65*C65*D65</f>
        <v>0</v>
      </c>
    </row>
    <row r="66" spans="1:5" ht="12.75">
      <c r="A66" s="4" t="str">
        <f>'Cost Variables'!A105</f>
        <v>Wash water disposal</v>
      </c>
      <c r="B66" s="4">
        <f>'Cost Variables'!B105</f>
        <v>0.1</v>
      </c>
      <c r="C66" s="62">
        <f>Materials!C43</f>
        <v>3750</v>
      </c>
      <c r="D66">
        <f>IF(Materials!C43&gt;0,1,0)</f>
        <v>1</v>
      </c>
      <c r="E66" s="4">
        <f>B66*C66*D66</f>
        <v>375</v>
      </c>
    </row>
    <row r="67" spans="5:6" ht="12.75">
      <c r="E67" s="31" t="s">
        <v>331</v>
      </c>
      <c r="F67" s="3">
        <f>SUM(E63:E66)</f>
        <v>48976.875</v>
      </c>
    </row>
    <row r="69" ht="12.75">
      <c r="A69" s="1" t="s">
        <v>265</v>
      </c>
    </row>
    <row r="70" spans="2:6" ht="12.75">
      <c r="B70" s="27" t="s">
        <v>332</v>
      </c>
      <c r="C70" s="27" t="s">
        <v>333</v>
      </c>
      <c r="D70" s="27" t="s">
        <v>36</v>
      </c>
      <c r="E70" s="27" t="s">
        <v>9</v>
      </c>
      <c r="F70" s="7"/>
    </row>
    <row r="71" spans="2:5" ht="12.75">
      <c r="B71" s="79">
        <f>SUM(Input!B10:B12)</f>
        <v>7</v>
      </c>
      <c r="C71" s="108">
        <f>Input!$B$13*(1+'Cost Variables'!$B$110)</f>
        <v>39</v>
      </c>
      <c r="D71" s="109">
        <f>B71*C71*Input!$B$14</f>
        <v>2184</v>
      </c>
      <c r="E71" s="7">
        <f>Time!$F$68</f>
        <v>33</v>
      </c>
    </row>
    <row r="72" spans="5:11" ht="12.75">
      <c r="E72" s="31" t="s">
        <v>334</v>
      </c>
      <c r="F72" s="8">
        <f>D71*E71</f>
        <v>72072</v>
      </c>
      <c r="K72" s="4"/>
    </row>
    <row r="73" ht="12.75">
      <c r="K73" s="4"/>
    </row>
    <row r="74" spans="1:11" ht="12.75">
      <c r="A74" s="1" t="s">
        <v>294</v>
      </c>
      <c r="K74" s="4"/>
    </row>
    <row r="75" spans="1:11" ht="25.5">
      <c r="A75" s="1"/>
      <c r="B75" s="26" t="s">
        <v>339</v>
      </c>
      <c r="C75" s="26" t="s">
        <v>296</v>
      </c>
      <c r="D75" s="26" t="s">
        <v>70</v>
      </c>
      <c r="E75" s="26" t="s">
        <v>299</v>
      </c>
      <c r="K75" s="4"/>
    </row>
    <row r="76" spans="1:11" ht="12.75">
      <c r="A76" s="110" t="str">
        <f>'Cost Variables'!A113</f>
        <v>Lead Health and Safety Plan</v>
      </c>
      <c r="B76" s="111">
        <f>'Cost Variables'!B113</f>
        <v>500</v>
      </c>
      <c r="C76" s="101">
        <f>IF(Input!$B$15="yes",1,0)</f>
        <v>1</v>
      </c>
      <c r="D76" s="98">
        <v>1</v>
      </c>
      <c r="E76" s="5">
        <f aca="true" t="shared" si="4" ref="E76:E81">B76*C76*D76</f>
        <v>500</v>
      </c>
      <c r="K76" s="4"/>
    </row>
    <row r="77" spans="1:11" ht="12.75">
      <c r="A77" s="110" t="str">
        <f>'Cost Variables'!A114</f>
        <v>Site Pre-Assessment</v>
      </c>
      <c r="B77" s="111">
        <f>'Cost Variables'!B114</f>
        <v>500</v>
      </c>
      <c r="C77" s="101">
        <f>IF(Input!$B$15="yes",1,0)</f>
        <v>1</v>
      </c>
      <c r="D77" s="98">
        <v>1</v>
      </c>
      <c r="E77" s="5">
        <f t="shared" si="4"/>
        <v>500</v>
      </c>
      <c r="K77" s="4"/>
    </row>
    <row r="78" spans="1:11" ht="12.75">
      <c r="A78" s="110" t="str">
        <f>'Cost Variables'!A115</f>
        <v>High Vol. Air Monitoring</v>
      </c>
      <c r="B78" s="111">
        <f>'Cost Variables'!B115</f>
        <v>50</v>
      </c>
      <c r="C78" s="98">
        <v>1</v>
      </c>
      <c r="D78" s="101">
        <f>IF(Input!$B$15="yes",Time!$F$68,SUM(Time!$F$13:$F$30))</f>
        <v>33</v>
      </c>
      <c r="E78" s="5">
        <f t="shared" si="4"/>
        <v>1650</v>
      </c>
      <c r="K78" s="4"/>
    </row>
    <row r="79" spans="1:11" ht="12.75">
      <c r="A79" s="110" t="str">
        <f>'Cost Variables'!A116</f>
        <v>Field Tech./Emissions Observer</v>
      </c>
      <c r="B79" s="111">
        <f>'Cost Variables'!B116</f>
        <v>75</v>
      </c>
      <c r="C79" s="98">
        <v>1</v>
      </c>
      <c r="D79" s="101">
        <f>IF(Input!$B$15="yes",Time!$F$68,SUM(Time!$F$13:$F$30))</f>
        <v>33</v>
      </c>
      <c r="E79" s="5">
        <f t="shared" si="4"/>
        <v>2475</v>
      </c>
      <c r="K79" s="4"/>
    </row>
    <row r="80" spans="1:11" ht="12.75">
      <c r="A80" s="110" t="str">
        <f>'Cost Variables'!A117</f>
        <v>Lab Testing of Samples</v>
      </c>
      <c r="B80" s="111">
        <f>'Cost Variables'!B117</f>
        <v>100</v>
      </c>
      <c r="C80" s="98">
        <v>1</v>
      </c>
      <c r="D80" s="101">
        <f>IF(Input!$B$15="yes",Time!$F$68,SUM(Time!$F$13:$F$30))</f>
        <v>33</v>
      </c>
      <c r="E80" s="5">
        <f t="shared" si="4"/>
        <v>3300</v>
      </c>
      <c r="K80" s="4"/>
    </row>
    <row r="81" spans="1:11" ht="12.75">
      <c r="A81" s="110" t="str">
        <f>'Cost Variables'!A118</f>
        <v>Post Site Assessment</v>
      </c>
      <c r="B81" s="111">
        <f>'Cost Variables'!B118</f>
        <v>500</v>
      </c>
      <c r="C81" s="101">
        <f>IF(Input!$B$15="yes",1,0)</f>
        <v>1</v>
      </c>
      <c r="D81" s="98">
        <v>1</v>
      </c>
      <c r="E81" s="5">
        <f t="shared" si="4"/>
        <v>500</v>
      </c>
      <c r="K81" s="4"/>
    </row>
    <row r="82" spans="1:11" ht="12.75">
      <c r="A82" s="110"/>
      <c r="B82" s="111"/>
      <c r="E82" s="31" t="s">
        <v>340</v>
      </c>
      <c r="F82" s="3">
        <f>SUM(E76:E81)</f>
        <v>8925</v>
      </c>
      <c r="K82" s="4"/>
    </row>
    <row r="83" spans="1:11" ht="12.75">
      <c r="A83" s="1"/>
      <c r="K83" s="4"/>
    </row>
    <row r="84" ht="12.75">
      <c r="A84" s="1" t="s">
        <v>342</v>
      </c>
    </row>
    <row r="85" spans="1:2" ht="12.75">
      <c r="A85" s="46" t="s">
        <v>380</v>
      </c>
      <c r="B85" s="13">
        <f>$F$27+$F$39+$F$59+$F$67+$F$72+$F$82</f>
        <v>212947.12232310482</v>
      </c>
    </row>
    <row r="86" spans="1:2" ht="12.75">
      <c r="A86" s="46" t="s">
        <v>14</v>
      </c>
      <c r="B86" s="13">
        <f>B85*'Cost Variables'!$B$108</f>
        <v>12776.82733938629</v>
      </c>
    </row>
    <row r="87" spans="1:2" ht="12.75">
      <c r="A87" s="46" t="s">
        <v>15</v>
      </c>
      <c r="B87" s="116">
        <f>(B85+B86)*'Cost Variables'!$B$109</f>
        <v>33858.59244937366</v>
      </c>
    </row>
    <row r="88" spans="1:2" ht="12.75">
      <c r="A88" s="46" t="s">
        <v>37</v>
      </c>
      <c r="B88" s="13">
        <f>SUM(B85:B87)</f>
        <v>259582.54211186475</v>
      </c>
    </row>
    <row r="89" spans="1:2" ht="12.75">
      <c r="A89" s="46" t="s">
        <v>41</v>
      </c>
      <c r="B89" s="37">
        <f>B88/Input!$B$8</f>
        <v>10.38330168447459</v>
      </c>
    </row>
    <row r="91" ht="12.75">
      <c r="A91" s="30" t="s">
        <v>48</v>
      </c>
    </row>
    <row r="92" spans="1:4" ht="12.75">
      <c r="A92" s="46" t="s">
        <v>354</v>
      </c>
      <c r="B92" s="113">
        <f>Cost!$F$72</f>
        <v>72072</v>
      </c>
      <c r="C92" s="112">
        <f>Cost!$F$72/Cost!$B$88</f>
        <v>0.2776457900968595</v>
      </c>
      <c r="D92" s="5">
        <f>B92/Input!$B$8</f>
        <v>2.88288</v>
      </c>
    </row>
    <row r="93" spans="1:4" ht="12.75">
      <c r="A93" s="46" t="s">
        <v>353</v>
      </c>
      <c r="B93" s="113">
        <f>Cost!$F$67</f>
        <v>48976.875</v>
      </c>
      <c r="C93" s="112">
        <f>Cost!$F$67/Cost!$B$88</f>
        <v>0.18867553496295547</v>
      </c>
      <c r="D93" s="5">
        <f>B93/Input!$B$8</f>
        <v>1.959075</v>
      </c>
    </row>
    <row r="94" spans="1:4" ht="12.75">
      <c r="A94" s="46" t="s">
        <v>69</v>
      </c>
      <c r="B94" s="113">
        <f>Cost!$F$59</f>
        <v>42378.75</v>
      </c>
      <c r="C94" s="112">
        <f>Cost!$F$59/Cost!$B$88</f>
        <v>0.16325731944537802</v>
      </c>
      <c r="D94" s="5">
        <f>B94/Input!$B$8</f>
        <v>1.69515</v>
      </c>
    </row>
    <row r="95" spans="1:4" ht="12.75">
      <c r="A95" s="46" t="s">
        <v>352</v>
      </c>
      <c r="B95" s="113">
        <f>Cost!$F$27</f>
        <v>30204.169695338165</v>
      </c>
      <c r="C95" s="112">
        <f>Cost!$F$27/Cost!$B$88</f>
        <v>0.1163567066167414</v>
      </c>
      <c r="D95" s="5">
        <f>B95/Input!$B$8</f>
        <v>1.2081667878135267</v>
      </c>
    </row>
    <row r="96" spans="1:4" ht="12.75">
      <c r="A96" s="46" t="s">
        <v>350</v>
      </c>
      <c r="B96" s="113">
        <f>Cost!$F$82</f>
        <v>8925</v>
      </c>
      <c r="C96" s="112">
        <f>Cost!$F$82/Cost!$B$88</f>
        <v>0.03438212727015306</v>
      </c>
      <c r="D96" s="5">
        <f>B96/Input!$B$8</f>
        <v>0.357</v>
      </c>
    </row>
    <row r="97" spans="1:4" ht="12.75">
      <c r="A97" s="46" t="s">
        <v>351</v>
      </c>
      <c r="B97" s="113">
        <f>Cost!$B$86</f>
        <v>12776.82733938629</v>
      </c>
      <c r="C97" s="112">
        <f>Cost!$B$86/Cost!$B$88</f>
        <v>0.04922067268252667</v>
      </c>
      <c r="D97" s="5">
        <f>B97/Input!$B$8</f>
        <v>0.5110730935754516</v>
      </c>
    </row>
    <row r="98" spans="1:4" ht="12.75">
      <c r="A98" s="46" t="s">
        <v>15</v>
      </c>
      <c r="B98" s="114">
        <f>Cost!$B$87</f>
        <v>33858.59244937366</v>
      </c>
      <c r="C98" s="115">
        <f>Cost!$B$87/Cost!$B$88</f>
        <v>0.13043478260869565</v>
      </c>
      <c r="D98" s="5">
        <f>B98/Input!$B$8</f>
        <v>1.3543436979749464</v>
      </c>
    </row>
    <row r="99" spans="1:4" ht="12.75">
      <c r="A99" s="46" t="s">
        <v>355</v>
      </c>
      <c r="B99" s="113">
        <f>Cost!$F$39</f>
        <v>10390.327627766668</v>
      </c>
      <c r="C99" s="112">
        <f>Cost!$F$39/Cost!$B$88</f>
        <v>0.04002706631669032</v>
      </c>
      <c r="D99" s="5">
        <f>B99/Input!$B$8</f>
        <v>0.41561310511066674</v>
      </c>
    </row>
    <row r="100" spans="1:4" ht="12.75">
      <c r="A100" s="46" t="s">
        <v>37</v>
      </c>
      <c r="B100" s="13">
        <f>SUM(B92:B99)</f>
        <v>259582.54211186478</v>
      </c>
      <c r="C100" s="10">
        <f>SUM(Cost!$C$92:Cost!$C$99)</f>
        <v>1</v>
      </c>
      <c r="D100" s="5">
        <f>B100/Input!$B$8</f>
        <v>10.383301684474592</v>
      </c>
    </row>
  </sheetData>
  <sheetProtection sheet="1" objects="1" scenarios="1"/>
  <mergeCells count="2">
    <mergeCell ref="B41:F41"/>
    <mergeCell ref="A1:F1"/>
  </mergeCells>
  <printOptions/>
  <pageMargins left="0.75" right="0.75" top="1" bottom="1" header="0.5" footer="0.5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158"/>
  <sheetViews>
    <sheetView workbookViewId="0" topLeftCell="A32">
      <selection activeCell="C21" sqref="C21"/>
    </sheetView>
  </sheetViews>
  <sheetFormatPr defaultColWidth="9.140625" defaultRowHeight="12.75"/>
  <cols>
    <col min="1" max="1" width="37.140625" style="46" customWidth="1"/>
    <col min="2" max="2" width="10.7109375" style="0" customWidth="1"/>
    <col min="3" max="3" width="9.57421875" style="0" customWidth="1"/>
    <col min="4" max="4" width="10.28125" style="0" customWidth="1"/>
    <col min="5" max="6" width="13.00390625" style="0" customWidth="1"/>
    <col min="7" max="7" width="15.7109375" style="0" customWidth="1"/>
  </cols>
  <sheetData>
    <row r="1" ht="15.75">
      <c r="A1" s="166" t="s">
        <v>425</v>
      </c>
    </row>
    <row r="2" spans="1:7" ht="12.75">
      <c r="A2" s="42"/>
      <c r="B2" s="97"/>
      <c r="C2" s="165" t="s">
        <v>424</v>
      </c>
      <c r="D2" s="19"/>
      <c r="E2" s="19"/>
      <c r="F2" s="19"/>
      <c r="G2" s="19"/>
    </row>
    <row r="3" spans="1:8" ht="25.5">
      <c r="A3" s="96" t="s">
        <v>295</v>
      </c>
      <c r="B3" s="93" t="s">
        <v>107</v>
      </c>
      <c r="C3" s="93" t="s">
        <v>117</v>
      </c>
      <c r="D3" s="93" t="s">
        <v>108</v>
      </c>
      <c r="E3" s="93" t="s">
        <v>37</v>
      </c>
      <c r="F3" s="93" t="s">
        <v>109</v>
      </c>
      <c r="G3" s="93" t="s">
        <v>110</v>
      </c>
      <c r="H3" s="1" t="s">
        <v>267</v>
      </c>
    </row>
    <row r="4" spans="1:7" ht="12.75">
      <c r="A4" s="45" t="s">
        <v>218</v>
      </c>
      <c r="B4" s="147">
        <v>240000</v>
      </c>
      <c r="C4" s="148">
        <v>5</v>
      </c>
      <c r="D4" s="149">
        <v>0.07</v>
      </c>
      <c r="E4" s="39">
        <f aca="true" t="shared" si="0" ref="E4:E20">FV(D4,C4,0,B4)</f>
        <v>-336612.41536800005</v>
      </c>
      <c r="F4" s="39">
        <f aca="true" t="shared" si="1" ref="F4:F20">E4/C4</f>
        <v>-67322.48307360001</v>
      </c>
      <c r="G4" s="41">
        <f aca="true" t="shared" si="2" ref="G4:G26">F4/9</f>
        <v>-7480.275897066668</v>
      </c>
    </row>
    <row r="5" spans="1:7" ht="12.75">
      <c r="A5" s="45" t="s">
        <v>219</v>
      </c>
      <c r="B5" s="147">
        <v>200000</v>
      </c>
      <c r="C5" s="148">
        <v>5</v>
      </c>
      <c r="D5" s="149">
        <v>0.07</v>
      </c>
      <c r="E5" s="39">
        <f t="shared" si="0"/>
        <v>-280510.34614000004</v>
      </c>
      <c r="F5" s="39">
        <f t="shared" si="1"/>
        <v>-56102.06922800001</v>
      </c>
      <c r="G5" s="41">
        <f t="shared" si="2"/>
        <v>-6233.563247555557</v>
      </c>
    </row>
    <row r="6" spans="1:7" ht="12.75">
      <c r="A6" s="45" t="s">
        <v>113</v>
      </c>
      <c r="B6" s="147">
        <v>200000</v>
      </c>
      <c r="C6" s="148">
        <v>5</v>
      </c>
      <c r="D6" s="149">
        <v>0.07</v>
      </c>
      <c r="E6" s="39">
        <f t="shared" si="0"/>
        <v>-280510.34614000004</v>
      </c>
      <c r="F6" s="39">
        <f t="shared" si="1"/>
        <v>-56102.06922800001</v>
      </c>
      <c r="G6" s="41">
        <f t="shared" si="2"/>
        <v>-6233.563247555557</v>
      </c>
    </row>
    <row r="7" spans="1:7" ht="12.75">
      <c r="A7" s="45" t="s">
        <v>220</v>
      </c>
      <c r="B7" s="147">
        <v>135000</v>
      </c>
      <c r="C7" s="148">
        <v>5</v>
      </c>
      <c r="D7" s="149">
        <v>0.07</v>
      </c>
      <c r="E7" s="39">
        <f t="shared" si="0"/>
        <v>-189344.48364450003</v>
      </c>
      <c r="F7" s="39">
        <f t="shared" si="1"/>
        <v>-37868.89672890001</v>
      </c>
      <c r="G7" s="41">
        <f t="shared" si="2"/>
        <v>-4207.655192100001</v>
      </c>
    </row>
    <row r="8" spans="1:7" ht="12.75">
      <c r="A8" s="45" t="s">
        <v>311</v>
      </c>
      <c r="B8" s="147">
        <v>75000</v>
      </c>
      <c r="C8" s="148">
        <v>5</v>
      </c>
      <c r="D8" s="149">
        <v>0.07</v>
      </c>
      <c r="E8" s="39">
        <f t="shared" si="0"/>
        <v>-105191.37980250001</v>
      </c>
      <c r="F8" s="39">
        <f t="shared" si="1"/>
        <v>-21038.275960500003</v>
      </c>
      <c r="G8" s="41">
        <f t="shared" si="2"/>
        <v>-2337.5862178333336</v>
      </c>
    </row>
    <row r="9" spans="1:7" ht="12.75">
      <c r="A9" s="45" t="s">
        <v>221</v>
      </c>
      <c r="B9" s="147">
        <v>70000</v>
      </c>
      <c r="C9" s="148">
        <v>5</v>
      </c>
      <c r="D9" s="149">
        <v>0.07</v>
      </c>
      <c r="E9" s="39">
        <f t="shared" si="0"/>
        <v>-98178.62114900001</v>
      </c>
      <c r="F9" s="39">
        <f t="shared" si="1"/>
        <v>-19635.724229800002</v>
      </c>
      <c r="G9" s="41">
        <f t="shared" si="2"/>
        <v>-2181.7471366444447</v>
      </c>
    </row>
    <row r="10" spans="1:7" ht="12.75">
      <c r="A10" s="45" t="s">
        <v>268</v>
      </c>
      <c r="B10" s="147">
        <f>(18000+12000+2000+2000)*2</f>
        <v>68000</v>
      </c>
      <c r="C10" s="148">
        <v>5</v>
      </c>
      <c r="D10" s="149">
        <v>0.07</v>
      </c>
      <c r="E10" s="39">
        <f t="shared" si="0"/>
        <v>-95373.5176876</v>
      </c>
      <c r="F10" s="39">
        <f t="shared" si="1"/>
        <v>-19074.70353752</v>
      </c>
      <c r="G10" s="41">
        <f t="shared" si="2"/>
        <v>-2119.4115041688888</v>
      </c>
    </row>
    <row r="11" spans="1:7" ht="12.75">
      <c r="A11" s="45" t="s">
        <v>222</v>
      </c>
      <c r="B11" s="147">
        <v>59750</v>
      </c>
      <c r="C11" s="148">
        <v>5</v>
      </c>
      <c r="D11" s="149">
        <v>0.07</v>
      </c>
      <c r="E11" s="39">
        <f t="shared" si="0"/>
        <v>-83802.46590932501</v>
      </c>
      <c r="F11" s="39">
        <f t="shared" si="1"/>
        <v>-16760.493181865</v>
      </c>
      <c r="G11" s="41">
        <f t="shared" si="2"/>
        <v>-1862.2770202072222</v>
      </c>
    </row>
    <row r="12" spans="1:7" ht="12.75">
      <c r="A12" s="45" t="s">
        <v>224</v>
      </c>
      <c r="B12" s="147">
        <v>55000</v>
      </c>
      <c r="C12" s="148">
        <v>5</v>
      </c>
      <c r="D12" s="149">
        <v>0.07</v>
      </c>
      <c r="E12" s="39">
        <f t="shared" si="0"/>
        <v>-77140.34518850001</v>
      </c>
      <c r="F12" s="39">
        <f t="shared" si="1"/>
        <v>-15428.069037700003</v>
      </c>
      <c r="G12" s="41">
        <f t="shared" si="2"/>
        <v>-1714.2298930777781</v>
      </c>
    </row>
    <row r="13" spans="1:7" ht="12.75">
      <c r="A13" s="45" t="s">
        <v>223</v>
      </c>
      <c r="B13" s="147">
        <v>33850</v>
      </c>
      <c r="C13" s="148">
        <v>5</v>
      </c>
      <c r="D13" s="149">
        <v>0.07</v>
      </c>
      <c r="E13" s="39">
        <f t="shared" si="0"/>
        <v>-47476.376084195006</v>
      </c>
      <c r="F13" s="39">
        <f t="shared" si="1"/>
        <v>-9495.275216839002</v>
      </c>
      <c r="G13" s="41">
        <f t="shared" si="2"/>
        <v>-1055.030579648778</v>
      </c>
    </row>
    <row r="14" spans="1:7" ht="12.75">
      <c r="A14" s="45" t="s">
        <v>111</v>
      </c>
      <c r="B14" s="147">
        <v>8185</v>
      </c>
      <c r="C14" s="148">
        <v>5</v>
      </c>
      <c r="D14" s="149">
        <v>0.07</v>
      </c>
      <c r="E14" s="39">
        <f t="shared" si="0"/>
        <v>-11479.885915779501</v>
      </c>
      <c r="F14" s="39">
        <f t="shared" si="1"/>
        <v>-2295.9771831559</v>
      </c>
      <c r="G14" s="41">
        <f t="shared" si="2"/>
        <v>-255.10857590621112</v>
      </c>
    </row>
    <row r="15" spans="1:7" ht="12.75">
      <c r="A15" s="45" t="s">
        <v>114</v>
      </c>
      <c r="B15" s="147">
        <v>25000</v>
      </c>
      <c r="C15" s="148">
        <v>5</v>
      </c>
      <c r="D15" s="149">
        <v>0.07</v>
      </c>
      <c r="E15" s="39">
        <f t="shared" si="0"/>
        <v>-35063.793267500005</v>
      </c>
      <c r="F15" s="39">
        <f t="shared" si="1"/>
        <v>-7012.758653500001</v>
      </c>
      <c r="G15" s="41">
        <f t="shared" si="2"/>
        <v>-779.1954059444446</v>
      </c>
    </row>
    <row r="16" spans="1:7" ht="12.75">
      <c r="A16" s="45" t="s">
        <v>50</v>
      </c>
      <c r="B16" s="147">
        <v>5785</v>
      </c>
      <c r="C16" s="148">
        <v>5</v>
      </c>
      <c r="D16" s="149">
        <v>0.07</v>
      </c>
      <c r="E16" s="39">
        <f t="shared" si="0"/>
        <v>-8113.761762099501</v>
      </c>
      <c r="F16" s="39">
        <f t="shared" si="1"/>
        <v>-1622.7523524199</v>
      </c>
      <c r="G16" s="41">
        <f t="shared" si="2"/>
        <v>-180.30581693554444</v>
      </c>
    </row>
    <row r="17" spans="1:7" ht="12.75">
      <c r="A17" s="43" t="s">
        <v>115</v>
      </c>
      <c r="B17" s="147">
        <v>1736</v>
      </c>
      <c r="C17" s="148">
        <v>5</v>
      </c>
      <c r="D17" s="149">
        <v>0.07</v>
      </c>
      <c r="E17" s="39">
        <f t="shared" si="0"/>
        <v>-2434.8298044952003</v>
      </c>
      <c r="F17" s="39">
        <f t="shared" si="1"/>
        <v>-486.96596089904006</v>
      </c>
      <c r="G17" s="41">
        <f t="shared" si="2"/>
        <v>-54.10732898878223</v>
      </c>
    </row>
    <row r="18" spans="1:7" ht="12.75">
      <c r="A18" s="43" t="s">
        <v>312</v>
      </c>
      <c r="B18" s="147">
        <v>1000</v>
      </c>
      <c r="C18" s="148">
        <v>5</v>
      </c>
      <c r="D18" s="149">
        <v>0.07</v>
      </c>
      <c r="E18" s="39">
        <f t="shared" si="0"/>
        <v>-1402.5517307000002</v>
      </c>
      <c r="F18" s="39">
        <f t="shared" si="1"/>
        <v>-280.51034614</v>
      </c>
      <c r="G18" s="41">
        <f t="shared" si="2"/>
        <v>-31.16781623777778</v>
      </c>
    </row>
    <row r="19" spans="1:7" ht="12.75">
      <c r="A19" s="45" t="s">
        <v>112</v>
      </c>
      <c r="B19" s="147">
        <v>725</v>
      </c>
      <c r="C19" s="148">
        <v>5</v>
      </c>
      <c r="D19" s="149">
        <v>0.07</v>
      </c>
      <c r="E19" s="39">
        <f t="shared" si="0"/>
        <v>-1016.8500047575001</v>
      </c>
      <c r="F19" s="39">
        <f t="shared" si="1"/>
        <v>-203.3700009515</v>
      </c>
      <c r="G19" s="41">
        <f t="shared" si="2"/>
        <v>-22.59666677238889</v>
      </c>
    </row>
    <row r="20" spans="1:7" ht="12.75">
      <c r="A20" s="45" t="s">
        <v>269</v>
      </c>
      <c r="B20" s="147">
        <v>628</v>
      </c>
      <c r="C20" s="148">
        <v>5</v>
      </c>
      <c r="D20" s="149">
        <v>0.07</v>
      </c>
      <c r="E20" s="39">
        <f t="shared" si="0"/>
        <v>-880.8024868796001</v>
      </c>
      <c r="F20" s="39">
        <f t="shared" si="1"/>
        <v>-176.16049737592002</v>
      </c>
      <c r="G20" s="41">
        <f t="shared" si="2"/>
        <v>-19.573388597324445</v>
      </c>
    </row>
    <row r="21" spans="1:8" ht="12.75">
      <c r="A21" s="45" t="s">
        <v>186</v>
      </c>
      <c r="B21" s="147">
        <v>3850</v>
      </c>
      <c r="C21" s="148">
        <v>5</v>
      </c>
      <c r="D21" s="149">
        <v>0.07</v>
      </c>
      <c r="E21" s="39">
        <f aca="true" t="shared" si="3" ref="E21:E26">FV(D21,C21,0,B21)</f>
        <v>-5399.824163195</v>
      </c>
      <c r="F21" s="39">
        <f aca="true" t="shared" si="4" ref="F21:F26">E21/C21</f>
        <v>-1079.9648326390002</v>
      </c>
      <c r="G21" s="41">
        <f t="shared" si="2"/>
        <v>-119.99609251544446</v>
      </c>
      <c r="H21" t="s">
        <v>284</v>
      </c>
    </row>
    <row r="22" spans="1:7" ht="12.75">
      <c r="A22" s="45" t="s">
        <v>313</v>
      </c>
      <c r="B22" s="147">
        <v>96250</v>
      </c>
      <c r="C22" s="148">
        <v>5</v>
      </c>
      <c r="D22" s="149">
        <v>0.07</v>
      </c>
      <c r="E22" s="39">
        <f t="shared" si="3"/>
        <v>-134995.60407987502</v>
      </c>
      <c r="F22" s="39">
        <f t="shared" si="4"/>
        <v>-26999.120815975002</v>
      </c>
      <c r="G22" s="41">
        <f t="shared" si="2"/>
        <v>-2999.9023128861113</v>
      </c>
    </row>
    <row r="23" spans="1:7" ht="12.75">
      <c r="A23" s="45" t="s">
        <v>51</v>
      </c>
      <c r="B23" s="147">
        <v>65000</v>
      </c>
      <c r="C23" s="148">
        <v>5</v>
      </c>
      <c r="D23" s="149">
        <v>0.07</v>
      </c>
      <c r="E23" s="39">
        <f t="shared" si="3"/>
        <v>-91165.86249550001</v>
      </c>
      <c r="F23" s="39">
        <f t="shared" si="4"/>
        <v>-18233.1724991</v>
      </c>
      <c r="G23" s="41">
        <f t="shared" si="2"/>
        <v>-2025.9080554555558</v>
      </c>
    </row>
    <row r="24" spans="1:7" ht="12.75">
      <c r="A24" s="43" t="s">
        <v>316</v>
      </c>
      <c r="B24" s="147">
        <v>24000</v>
      </c>
      <c r="C24" s="148">
        <v>5</v>
      </c>
      <c r="D24" s="149">
        <v>0.07</v>
      </c>
      <c r="E24" s="39">
        <f t="shared" si="3"/>
        <v>-33661.24153680001</v>
      </c>
      <c r="F24" s="39">
        <f t="shared" si="4"/>
        <v>-6732.2483073600015</v>
      </c>
      <c r="G24" s="41">
        <f t="shared" si="2"/>
        <v>-748.0275897066668</v>
      </c>
    </row>
    <row r="25" spans="1:7" ht="12.75">
      <c r="A25" s="43" t="s">
        <v>382</v>
      </c>
      <c r="B25" s="147">
        <v>25000</v>
      </c>
      <c r="C25" s="148">
        <v>5</v>
      </c>
      <c r="D25" s="149">
        <v>0.07</v>
      </c>
      <c r="E25" s="39">
        <f t="shared" si="3"/>
        <v>-35063.793267500005</v>
      </c>
      <c r="F25" s="39">
        <f t="shared" si="4"/>
        <v>-7012.758653500001</v>
      </c>
      <c r="G25" s="41">
        <f t="shared" si="2"/>
        <v>-779.1954059444446</v>
      </c>
    </row>
    <row r="26" spans="1:7" ht="12.75">
      <c r="A26" s="43" t="s">
        <v>427</v>
      </c>
      <c r="B26" s="147">
        <v>28000</v>
      </c>
      <c r="C26" s="148">
        <v>5</v>
      </c>
      <c r="D26" s="149">
        <v>0.07</v>
      </c>
      <c r="E26" s="39">
        <f t="shared" si="3"/>
        <v>-39271.448459600004</v>
      </c>
      <c r="F26" s="39">
        <f t="shared" si="4"/>
        <v>-7854.289691920001</v>
      </c>
      <c r="G26" s="41">
        <f t="shared" si="2"/>
        <v>-872.6988546577779</v>
      </c>
    </row>
    <row r="27" spans="1:7" ht="12.75">
      <c r="A27" s="45"/>
      <c r="B27" s="40"/>
      <c r="C27" s="38"/>
      <c r="D27" s="11"/>
      <c r="E27" s="39"/>
      <c r="F27" s="39"/>
      <c r="G27" s="41"/>
    </row>
    <row r="28" spans="1:7" ht="12.75">
      <c r="A28" s="94" t="s">
        <v>305</v>
      </c>
      <c r="B28" s="150">
        <v>16</v>
      </c>
      <c r="C28" s="57" t="s">
        <v>306</v>
      </c>
      <c r="D28" s="11"/>
      <c r="E28" s="39"/>
      <c r="F28" s="39"/>
      <c r="G28" s="41"/>
    </row>
    <row r="29" spans="1:7" ht="12.75">
      <c r="A29" s="45"/>
      <c r="B29" s="40"/>
      <c r="C29" s="38"/>
      <c r="D29" s="11"/>
      <c r="E29" s="39"/>
      <c r="F29" s="39"/>
      <c r="G29" s="41"/>
    </row>
    <row r="30" spans="1:8" ht="25.5">
      <c r="A30" s="96" t="s">
        <v>381</v>
      </c>
      <c r="B30" s="93" t="s">
        <v>107</v>
      </c>
      <c r="C30" s="93" t="s">
        <v>117</v>
      </c>
      <c r="D30" s="93" t="s">
        <v>108</v>
      </c>
      <c r="E30" s="93" t="s">
        <v>37</v>
      </c>
      <c r="F30" s="93" t="s">
        <v>109</v>
      </c>
      <c r="G30" s="93" t="s">
        <v>110</v>
      </c>
      <c r="H30" s="1" t="s">
        <v>267</v>
      </c>
    </row>
    <row r="31" spans="1:7" ht="12.75">
      <c r="A31" s="45" t="s">
        <v>314</v>
      </c>
      <c r="B31" s="147">
        <v>14500</v>
      </c>
      <c r="C31" s="148">
        <v>5</v>
      </c>
      <c r="D31" s="149">
        <v>0.07</v>
      </c>
      <c r="E31" s="39">
        <f>FV(D31,C31,0,B31)</f>
        <v>-20337.000095150004</v>
      </c>
      <c r="F31" s="39">
        <f>E31/C31</f>
        <v>-4067.4000190300007</v>
      </c>
      <c r="G31" s="41">
        <f>F31/9</f>
        <v>-451.93333544777784</v>
      </c>
    </row>
    <row r="32" spans="1:7" ht="12.75">
      <c r="A32" s="45" t="s">
        <v>106</v>
      </c>
      <c r="B32" s="147">
        <v>74900</v>
      </c>
      <c r="C32" s="148">
        <v>5</v>
      </c>
      <c r="D32" s="149">
        <v>0.07</v>
      </c>
      <c r="E32" s="39">
        <f>FV(D32,C32,0,B32)</f>
        <v>-105051.12462943</v>
      </c>
      <c r="F32" s="39">
        <f>E32/C32</f>
        <v>-21010.224925886003</v>
      </c>
      <c r="G32" s="41">
        <f>F32/9</f>
        <v>-2334.469436209556</v>
      </c>
    </row>
    <row r="33" spans="1:7" ht="12.75">
      <c r="A33" s="44" t="s">
        <v>315</v>
      </c>
      <c r="B33" s="147">
        <v>70000</v>
      </c>
      <c r="C33" s="148">
        <v>5</v>
      </c>
      <c r="D33" s="149">
        <v>0.07</v>
      </c>
      <c r="E33" s="39">
        <f>FV(D33,C33,0,B33)</f>
        <v>-98178.62114900001</v>
      </c>
      <c r="F33" s="39">
        <f>E33/C33</f>
        <v>-19635.724229800002</v>
      </c>
      <c r="G33" s="41">
        <f>F33/9</f>
        <v>-2181.7471366444447</v>
      </c>
    </row>
    <row r="34" spans="1:7" ht="12.75">
      <c r="A34" s="45" t="s">
        <v>105</v>
      </c>
      <c r="B34" s="147">
        <v>75000</v>
      </c>
      <c r="C34" s="148">
        <v>5</v>
      </c>
      <c r="D34" s="149">
        <v>0.07</v>
      </c>
      <c r="E34" s="39">
        <f>FV(D34,C34,0,B34)</f>
        <v>-105191.37980250001</v>
      </c>
      <c r="F34" s="39">
        <f>E34/C34</f>
        <v>-21038.275960500003</v>
      </c>
      <c r="G34" s="41">
        <f>F34/9</f>
        <v>-2337.5862178333336</v>
      </c>
    </row>
    <row r="35" spans="1:7" ht="12.75">
      <c r="A35" s="45" t="s">
        <v>116</v>
      </c>
      <c r="B35" s="147">
        <v>25200</v>
      </c>
      <c r="C35" s="148">
        <v>5</v>
      </c>
      <c r="D35" s="149">
        <v>0.07</v>
      </c>
      <c r="E35" s="39">
        <f>FV(D35,C35,0,B35)</f>
        <v>-35344.303613640004</v>
      </c>
      <c r="F35" s="39">
        <f>E35/C35</f>
        <v>-7068.860722728001</v>
      </c>
      <c r="G35" s="41">
        <f>F35/9</f>
        <v>-785.4289691920001</v>
      </c>
    </row>
    <row r="36" spans="1:7" ht="12.75">
      <c r="A36" s="45" t="s">
        <v>307</v>
      </c>
      <c r="B36" s="151">
        <v>1</v>
      </c>
      <c r="C36" s="58" t="s">
        <v>388</v>
      </c>
      <c r="D36" s="39"/>
      <c r="E36" s="39"/>
      <c r="F36" s="39"/>
      <c r="G36" s="41"/>
    </row>
    <row r="37" spans="1:7" ht="12.75">
      <c r="A37" s="45" t="s">
        <v>303</v>
      </c>
      <c r="B37" s="118"/>
      <c r="C37" s="57" t="s">
        <v>422</v>
      </c>
      <c r="D37" s="99"/>
      <c r="E37" s="39"/>
      <c r="F37" s="100"/>
      <c r="G37" s="41"/>
    </row>
    <row r="38" spans="1:7" ht="12.75">
      <c r="A38" s="45"/>
      <c r="B38" s="40"/>
      <c r="C38" s="38"/>
      <c r="D38" s="11"/>
      <c r="E38" s="39"/>
      <c r="F38" s="39"/>
      <c r="G38" s="41"/>
    </row>
    <row r="39" spans="1:7" ht="12.75">
      <c r="A39" s="45"/>
      <c r="B39" s="40"/>
      <c r="C39" s="38"/>
      <c r="D39" s="11"/>
      <c r="E39" s="39"/>
      <c r="F39" s="39"/>
      <c r="G39" s="41"/>
    </row>
    <row r="40" spans="1:7" ht="12.75">
      <c r="A40" s="94" t="s">
        <v>275</v>
      </c>
      <c r="B40" s="40"/>
      <c r="C40" s="38"/>
      <c r="D40" s="11"/>
      <c r="E40" s="39"/>
      <c r="F40" s="39"/>
      <c r="G40" s="41"/>
    </row>
    <row r="41" spans="1:7" ht="12.75">
      <c r="A41" s="45"/>
      <c r="B41" s="40"/>
      <c r="C41" s="38"/>
      <c r="D41" s="11"/>
      <c r="E41" s="39"/>
      <c r="F41" s="39"/>
      <c r="G41" s="41"/>
    </row>
    <row r="42" spans="1:7" ht="12.75">
      <c r="A42" s="45" t="s">
        <v>165</v>
      </c>
      <c r="B42" s="152">
        <v>40</v>
      </c>
      <c r="C42" s="57" t="s">
        <v>24</v>
      </c>
      <c r="D42" s="148">
        <v>12</v>
      </c>
      <c r="E42" s="58" t="s">
        <v>25</v>
      </c>
      <c r="F42" s="38">
        <f>B42*D42</f>
        <v>480</v>
      </c>
      <c r="G42" s="41" t="s">
        <v>166</v>
      </c>
    </row>
    <row r="43" spans="1:7" ht="12.75">
      <c r="A43" s="45" t="s">
        <v>285</v>
      </c>
      <c r="B43" s="153">
        <v>0.15</v>
      </c>
      <c r="C43" s="57" t="s">
        <v>168</v>
      </c>
      <c r="D43" s="59"/>
      <c r="E43" s="39"/>
      <c r="F43" s="60"/>
      <c r="G43" s="41"/>
    </row>
    <row r="44" spans="1:7" ht="12.75">
      <c r="A44" s="45" t="s">
        <v>169</v>
      </c>
      <c r="B44" s="152">
        <v>40</v>
      </c>
      <c r="C44" s="57" t="s">
        <v>24</v>
      </c>
      <c r="D44" s="148">
        <v>8.5</v>
      </c>
      <c r="E44" s="58" t="s">
        <v>25</v>
      </c>
      <c r="F44" s="38">
        <f>B44*D44</f>
        <v>340</v>
      </c>
      <c r="G44" s="41" t="s">
        <v>166</v>
      </c>
    </row>
    <row r="45" spans="1:7" ht="12.75">
      <c r="A45" s="45"/>
      <c r="B45" s="40"/>
      <c r="C45" s="38"/>
      <c r="D45" s="11"/>
      <c r="E45" s="39"/>
      <c r="F45" s="39"/>
      <c r="G45" s="41"/>
    </row>
    <row r="46" spans="1:7" ht="12.75">
      <c r="A46" s="45"/>
      <c r="B46" s="40"/>
      <c r="C46" s="38"/>
      <c r="D46" s="11"/>
      <c r="E46" s="39"/>
      <c r="F46" s="39"/>
      <c r="G46" s="41"/>
    </row>
    <row r="47" spans="1:7" ht="12.75">
      <c r="A47" s="94" t="s">
        <v>276</v>
      </c>
      <c r="B47" s="40"/>
      <c r="C47" s="38"/>
      <c r="D47" s="11"/>
      <c r="E47" s="39"/>
      <c r="F47" s="39"/>
      <c r="G47" s="41"/>
    </row>
    <row r="48" spans="1:7" ht="12.75">
      <c r="A48" s="43"/>
      <c r="B48" s="61"/>
      <c r="C48" s="19"/>
      <c r="D48" s="19"/>
      <c r="E48" s="39"/>
      <c r="F48" s="39"/>
      <c r="G48" s="41"/>
    </row>
    <row r="49" spans="1:7" ht="12.75">
      <c r="A49" s="43" t="s">
        <v>199</v>
      </c>
      <c r="B49" s="154">
        <v>0.25</v>
      </c>
      <c r="C49" s="19" t="s">
        <v>200</v>
      </c>
      <c r="E49" s="39"/>
      <c r="F49" s="39"/>
      <c r="G49" s="41"/>
    </row>
    <row r="50" spans="1:7" ht="12.75">
      <c r="A50" s="43" t="s">
        <v>278</v>
      </c>
      <c r="B50" s="154">
        <v>1</v>
      </c>
      <c r="C50" s="19" t="s">
        <v>200</v>
      </c>
      <c r="E50" s="39"/>
      <c r="F50" s="39"/>
      <c r="G50" s="41"/>
    </row>
    <row r="51" spans="1:7" ht="12.75">
      <c r="A51" s="43" t="s">
        <v>279</v>
      </c>
      <c r="B51" s="155">
        <v>0.5</v>
      </c>
      <c r="C51" s="19" t="s">
        <v>200</v>
      </c>
      <c r="E51" s="39"/>
      <c r="F51" s="39"/>
      <c r="G51" s="41"/>
    </row>
    <row r="52" spans="1:7" ht="12.75">
      <c r="A52" s="45"/>
      <c r="B52" s="40"/>
      <c r="C52" s="38"/>
      <c r="D52" s="11"/>
      <c r="E52" s="39"/>
      <c r="F52" s="39"/>
      <c r="G52" s="41"/>
    </row>
    <row r="53" spans="1:7" ht="12.75">
      <c r="A53" s="45"/>
      <c r="B53" s="40"/>
      <c r="C53" s="38"/>
      <c r="D53" s="11"/>
      <c r="E53" s="39"/>
      <c r="F53" s="39"/>
      <c r="G53" s="41"/>
    </row>
    <row r="54" spans="1:7" ht="12.75">
      <c r="A54" s="94" t="s">
        <v>277</v>
      </c>
      <c r="B54" s="40"/>
      <c r="C54" s="38"/>
      <c r="D54" s="11"/>
      <c r="E54" s="39"/>
      <c r="F54" s="39"/>
      <c r="G54" s="41"/>
    </row>
    <row r="55" spans="1:7" ht="12.75">
      <c r="A55" s="45"/>
      <c r="B55" s="40"/>
      <c r="C55" s="38"/>
      <c r="D55" s="11"/>
      <c r="E55" s="39"/>
      <c r="F55" s="39"/>
      <c r="G55" s="41"/>
    </row>
    <row r="56" spans="1:7" ht="12.75">
      <c r="A56" s="43" t="s">
        <v>246</v>
      </c>
      <c r="B56" s="156">
        <v>17.5</v>
      </c>
      <c r="C56" s="19" t="s">
        <v>247</v>
      </c>
      <c r="D56" s="19" t="s">
        <v>248</v>
      </c>
      <c r="E56" s="39"/>
      <c r="F56" s="39"/>
      <c r="G56" s="41"/>
    </row>
    <row r="57" spans="1:7" ht="12.75">
      <c r="A57" s="43" t="s">
        <v>286</v>
      </c>
      <c r="B57" s="156">
        <v>2.5</v>
      </c>
      <c r="C57" s="19" t="s">
        <v>249</v>
      </c>
      <c r="D57" s="19" t="s">
        <v>287</v>
      </c>
      <c r="E57" s="39"/>
      <c r="F57" s="39"/>
      <c r="G57" s="41"/>
    </row>
    <row r="58" spans="2:7" ht="12.75">
      <c r="B58" s="40"/>
      <c r="C58" s="57"/>
      <c r="D58" s="11"/>
      <c r="E58" s="39"/>
      <c r="F58" s="39"/>
      <c r="G58" s="41"/>
    </row>
    <row r="59" spans="1:7" ht="12.75">
      <c r="A59" s="45"/>
      <c r="B59" s="40"/>
      <c r="C59" s="38"/>
      <c r="D59" s="11"/>
      <c r="E59" s="39"/>
      <c r="F59" s="39"/>
      <c r="G59" s="41"/>
    </row>
    <row r="60" spans="1:7" ht="12.75">
      <c r="A60" s="94" t="s">
        <v>187</v>
      </c>
      <c r="B60" s="40"/>
      <c r="C60" s="38"/>
      <c r="D60" s="11"/>
      <c r="E60" s="39"/>
      <c r="F60" s="39"/>
      <c r="G60" s="41"/>
    </row>
    <row r="61" spans="2:7" ht="12.75">
      <c r="B61" s="27" t="s">
        <v>270</v>
      </c>
      <c r="C61" s="27" t="s">
        <v>271</v>
      </c>
      <c r="D61" s="11"/>
      <c r="E61" s="39"/>
      <c r="F61" s="39"/>
      <c r="G61" s="41"/>
    </row>
    <row r="62" spans="1:7" ht="12.75">
      <c r="A62" s="45" t="s">
        <v>28</v>
      </c>
      <c r="B62" s="147">
        <v>300</v>
      </c>
      <c r="C62" s="57" t="s">
        <v>272</v>
      </c>
      <c r="D62" s="11"/>
      <c r="E62" s="39"/>
      <c r="F62" s="39"/>
      <c r="G62" s="41"/>
    </row>
    <row r="63" spans="1:7" ht="12.75">
      <c r="A63" s="45" t="s">
        <v>188</v>
      </c>
      <c r="B63" s="147">
        <v>60</v>
      </c>
      <c r="C63" s="57" t="s">
        <v>272</v>
      </c>
      <c r="D63" s="11"/>
      <c r="E63" s="39"/>
      <c r="F63" s="39"/>
      <c r="G63" s="41"/>
    </row>
    <row r="64" spans="1:7" ht="12.75">
      <c r="A64" s="45" t="s">
        <v>45</v>
      </c>
      <c r="B64" s="147">
        <v>148</v>
      </c>
      <c r="C64" s="57" t="s">
        <v>272</v>
      </c>
      <c r="D64" s="11"/>
      <c r="E64" s="39"/>
      <c r="F64" s="39"/>
      <c r="G64" s="41"/>
    </row>
    <row r="65" spans="1:7" ht="12.75">
      <c r="A65" s="45" t="s">
        <v>46</v>
      </c>
      <c r="B65" s="157">
        <v>19.95</v>
      </c>
      <c r="C65" s="57" t="s">
        <v>273</v>
      </c>
      <c r="D65" s="11"/>
      <c r="E65" s="39"/>
      <c r="F65" s="39"/>
      <c r="G65" s="41"/>
    </row>
    <row r="66" spans="1:7" ht="12.75">
      <c r="A66" s="45" t="s">
        <v>11</v>
      </c>
      <c r="B66" s="158">
        <v>0.027</v>
      </c>
      <c r="C66" s="57" t="s">
        <v>273</v>
      </c>
      <c r="D66" s="11"/>
      <c r="E66" s="39"/>
      <c r="F66" s="39"/>
      <c r="G66" s="41"/>
    </row>
    <row r="67" spans="1:7" ht="12.75">
      <c r="A67" s="45" t="s">
        <v>10</v>
      </c>
      <c r="B67" s="157">
        <v>30</v>
      </c>
      <c r="C67" s="57" t="s">
        <v>273</v>
      </c>
      <c r="D67" s="11"/>
      <c r="E67" s="39"/>
      <c r="F67" s="39"/>
      <c r="G67" s="41"/>
    </row>
    <row r="68" spans="1:7" ht="12.75">
      <c r="A68" s="45" t="s">
        <v>12</v>
      </c>
      <c r="B68" s="157">
        <v>1.3</v>
      </c>
      <c r="C68" s="57" t="s">
        <v>273</v>
      </c>
      <c r="D68" s="11"/>
      <c r="E68" s="39"/>
      <c r="F68" s="39"/>
      <c r="G68" s="41"/>
    </row>
    <row r="69" spans="1:7" ht="12.75">
      <c r="A69" s="45" t="s">
        <v>189</v>
      </c>
      <c r="B69" s="147">
        <v>200</v>
      </c>
      <c r="C69" s="57" t="s">
        <v>274</v>
      </c>
      <c r="D69" s="11"/>
      <c r="E69" s="39"/>
      <c r="F69" s="39"/>
      <c r="G69" s="41"/>
    </row>
    <row r="70" spans="1:7" ht="12.75">
      <c r="A70" s="45" t="s">
        <v>428</v>
      </c>
      <c r="B70" s="157">
        <v>1.8</v>
      </c>
      <c r="C70" s="57" t="s">
        <v>429</v>
      </c>
      <c r="D70" s="11"/>
      <c r="E70" s="39"/>
      <c r="F70" s="39"/>
      <c r="G70" s="41"/>
    </row>
    <row r="71" spans="1:7" ht="12.75">
      <c r="A71" s="45"/>
      <c r="B71" s="40"/>
      <c r="C71" s="38"/>
      <c r="D71" s="11"/>
      <c r="E71" s="39"/>
      <c r="F71" s="39"/>
      <c r="G71" s="41"/>
    </row>
    <row r="72" spans="1:7" ht="12.75">
      <c r="A72" s="45"/>
      <c r="B72" s="40"/>
      <c r="C72" s="38"/>
      <c r="D72" s="11"/>
      <c r="E72" s="39"/>
      <c r="F72" s="39"/>
      <c r="G72" s="41"/>
    </row>
    <row r="73" spans="1:7" ht="12.75">
      <c r="A73" s="30" t="s">
        <v>280</v>
      </c>
      <c r="D73" s="11"/>
      <c r="E73" s="39"/>
      <c r="F73" s="39"/>
      <c r="G73" s="41"/>
    </row>
    <row r="74" spans="4:7" ht="12.75">
      <c r="D74" s="11"/>
      <c r="E74" s="39"/>
      <c r="F74" s="39"/>
      <c r="G74" s="41"/>
    </row>
    <row r="75" spans="1:3" ht="12.75">
      <c r="A75" s="45" t="s">
        <v>162</v>
      </c>
      <c r="B75" s="152">
        <v>3000</v>
      </c>
      <c r="C75" s="57" t="s">
        <v>159</v>
      </c>
    </row>
    <row r="76" spans="1:5" ht="12.75">
      <c r="A76" s="43" t="s">
        <v>181</v>
      </c>
      <c r="B76" s="159">
        <v>80</v>
      </c>
      <c r="C76" s="19" t="s">
        <v>184</v>
      </c>
      <c r="D76" s="19" t="s">
        <v>232</v>
      </c>
      <c r="E76" s="19"/>
    </row>
    <row r="77" spans="1:5" ht="12.75">
      <c r="A77" s="43" t="s">
        <v>253</v>
      </c>
      <c r="B77" s="156">
        <v>8.28</v>
      </c>
      <c r="C77" s="19" t="s">
        <v>288</v>
      </c>
      <c r="D77" s="19" t="s">
        <v>254</v>
      </c>
      <c r="E77" s="19"/>
    </row>
    <row r="78" spans="1:3" ht="12.75">
      <c r="A78" s="45" t="s">
        <v>178</v>
      </c>
      <c r="B78" s="152">
        <v>600</v>
      </c>
      <c r="C78" s="57" t="s">
        <v>159</v>
      </c>
    </row>
    <row r="79" spans="1:3" ht="12.75">
      <c r="A79" s="45" t="s">
        <v>163</v>
      </c>
      <c r="B79" s="152">
        <v>2600</v>
      </c>
      <c r="C79" s="57" t="s">
        <v>164</v>
      </c>
    </row>
    <row r="80" spans="1:11" ht="39" customHeight="1">
      <c r="A80" s="45" t="s">
        <v>289</v>
      </c>
      <c r="B80" s="160">
        <v>0.5</v>
      </c>
      <c r="C80" s="57" t="s">
        <v>290</v>
      </c>
      <c r="D80" s="186" t="s">
        <v>291</v>
      </c>
      <c r="E80" s="176"/>
      <c r="F80" s="176"/>
      <c r="G80" s="176"/>
      <c r="H80" s="176"/>
      <c r="I80" s="176"/>
      <c r="J80" s="176"/>
      <c r="K80" s="176"/>
    </row>
    <row r="81" spans="1:7" ht="12.75">
      <c r="A81" s="45" t="s">
        <v>170</v>
      </c>
      <c r="B81" s="160">
        <v>10</v>
      </c>
      <c r="C81" s="57" t="s">
        <v>290</v>
      </c>
      <c r="D81" s="74" t="s">
        <v>234</v>
      </c>
      <c r="E81" s="39"/>
      <c r="F81" s="39"/>
      <c r="G81" s="41"/>
    </row>
    <row r="82" spans="1:7" ht="12.75">
      <c r="A82" s="43" t="s">
        <v>171</v>
      </c>
      <c r="B82" s="161">
        <v>3</v>
      </c>
      <c r="C82" s="19" t="s">
        <v>179</v>
      </c>
      <c r="D82" s="95">
        <f>(60*'Cost Variables'!$B$82)/Input!$D$28</f>
        <v>1.8</v>
      </c>
      <c r="E82" s="19" t="s">
        <v>292</v>
      </c>
      <c r="F82" s="95">
        <f>(60*'Cost Variables'!$B$82)/Input!$D$35</f>
        <v>1.331488974531575</v>
      </c>
      <c r="G82" s="19" t="s">
        <v>180</v>
      </c>
    </row>
    <row r="83" spans="1:4" ht="12.75">
      <c r="A83" s="43" t="s">
        <v>172</v>
      </c>
      <c r="B83" s="156">
        <v>0.15</v>
      </c>
      <c r="C83" s="19" t="s">
        <v>173</v>
      </c>
      <c r="D83" s="51"/>
    </row>
    <row r="84" spans="1:7" ht="12.75">
      <c r="A84" s="43" t="s">
        <v>174</v>
      </c>
      <c r="B84" s="162">
        <v>0.1233</v>
      </c>
      <c r="C84" s="19" t="s">
        <v>173</v>
      </c>
      <c r="D84" s="19"/>
      <c r="E84" s="19"/>
      <c r="F84" s="19"/>
      <c r="G84" s="19"/>
    </row>
    <row r="85" spans="1:7" ht="12.75">
      <c r="A85" s="43" t="s">
        <v>175</v>
      </c>
      <c r="B85" s="156">
        <v>1</v>
      </c>
      <c r="C85" s="57" t="s">
        <v>290</v>
      </c>
      <c r="D85" s="19"/>
      <c r="E85" s="19"/>
      <c r="F85" s="19"/>
      <c r="G85" s="19"/>
    </row>
    <row r="86" spans="1:7" ht="12.75">
      <c r="A86" s="43" t="s">
        <v>176</v>
      </c>
      <c r="B86" s="156">
        <v>3</v>
      </c>
      <c r="C86" s="57" t="s">
        <v>290</v>
      </c>
      <c r="D86" s="19"/>
      <c r="E86" s="19"/>
      <c r="F86" s="19"/>
      <c r="G86" s="19"/>
    </row>
    <row r="87" spans="1:7" ht="12.75">
      <c r="A87" s="43" t="s">
        <v>177</v>
      </c>
      <c r="B87" s="156">
        <v>0.12</v>
      </c>
      <c r="C87" s="19" t="s">
        <v>173</v>
      </c>
      <c r="D87" s="19"/>
      <c r="E87" s="19"/>
      <c r="F87" s="19"/>
      <c r="G87" s="19"/>
    </row>
    <row r="88" spans="1:11" ht="27.75" customHeight="1">
      <c r="A88" s="43" t="s">
        <v>225</v>
      </c>
      <c r="B88" s="156">
        <v>1</v>
      </c>
      <c r="C88" s="19" t="s">
        <v>290</v>
      </c>
      <c r="D88" s="187" t="s">
        <v>293</v>
      </c>
      <c r="E88" s="176"/>
      <c r="F88" s="176"/>
      <c r="G88" s="176"/>
      <c r="H88" s="176"/>
      <c r="I88" s="176"/>
      <c r="J88" s="176"/>
      <c r="K88" s="176"/>
    </row>
    <row r="89" spans="1:7" ht="12.75">
      <c r="A89" s="43" t="s">
        <v>182</v>
      </c>
      <c r="B89" s="159">
        <v>400</v>
      </c>
      <c r="C89" s="19" t="s">
        <v>184</v>
      </c>
      <c r="D89" s="19" t="s">
        <v>232</v>
      </c>
      <c r="F89" s="19"/>
      <c r="G89" s="19"/>
    </row>
    <row r="90" spans="1:7" ht="12.75">
      <c r="A90" s="43" t="s">
        <v>183</v>
      </c>
      <c r="B90" s="159">
        <v>120</v>
      </c>
      <c r="C90" s="19" t="s">
        <v>185</v>
      </c>
      <c r="D90" s="19" t="s">
        <v>233</v>
      </c>
      <c r="E90" s="19"/>
      <c r="F90" s="19"/>
      <c r="G90" s="19"/>
    </row>
    <row r="91" spans="1:7" ht="12.75">
      <c r="A91" s="46" t="s">
        <v>432</v>
      </c>
      <c r="B91" s="169">
        <v>0.4701</v>
      </c>
      <c r="C91" s="19" t="s">
        <v>433</v>
      </c>
      <c r="D91" s="19" t="s">
        <v>439</v>
      </c>
      <c r="F91" s="19"/>
      <c r="G91" s="19"/>
    </row>
    <row r="92" ht="12.75">
      <c r="G92" s="19"/>
    </row>
    <row r="93" spans="1:7" ht="12.75">
      <c r="A93" s="30" t="s">
        <v>281</v>
      </c>
      <c r="G93" s="19"/>
    </row>
    <row r="94" ht="12.75">
      <c r="G94" s="19"/>
    </row>
    <row r="95" spans="1:7" ht="12.75">
      <c r="A95" s="46" t="s">
        <v>240</v>
      </c>
      <c r="B95" s="163">
        <v>1</v>
      </c>
      <c r="C95" s="19" t="s">
        <v>231</v>
      </c>
      <c r="D95" s="19" t="s">
        <v>238</v>
      </c>
      <c r="G95" s="19"/>
    </row>
    <row r="96" spans="1:7" ht="12.75">
      <c r="A96" s="46" t="s">
        <v>242</v>
      </c>
      <c r="B96" s="163">
        <v>1</v>
      </c>
      <c r="C96" s="19" t="s">
        <v>231</v>
      </c>
      <c r="D96" s="19" t="s">
        <v>235</v>
      </c>
      <c r="F96" s="19"/>
      <c r="G96" s="19"/>
    </row>
    <row r="97" spans="1:7" ht="12.75">
      <c r="A97" s="46" t="s">
        <v>244</v>
      </c>
      <c r="B97" s="163">
        <v>1</v>
      </c>
      <c r="C97" s="19" t="s">
        <v>231</v>
      </c>
      <c r="D97" s="19" t="s">
        <v>237</v>
      </c>
      <c r="F97" s="19"/>
      <c r="G97" s="19"/>
    </row>
    <row r="98" spans="1:7" ht="12.75">
      <c r="A98" s="46" t="s">
        <v>243</v>
      </c>
      <c r="B98" s="163">
        <v>1</v>
      </c>
      <c r="C98" s="19" t="s">
        <v>231</v>
      </c>
      <c r="D98" s="19" t="s">
        <v>236</v>
      </c>
      <c r="F98" s="19"/>
      <c r="G98" s="19"/>
    </row>
    <row r="99" spans="1:7" ht="12.75">
      <c r="A99" s="46" t="s">
        <v>430</v>
      </c>
      <c r="B99" s="163">
        <v>0.79</v>
      </c>
      <c r="C99" s="19" t="s">
        <v>231</v>
      </c>
      <c r="D99" s="19" t="s">
        <v>431</v>
      </c>
      <c r="F99" s="19"/>
      <c r="G99" s="19"/>
    </row>
    <row r="100" spans="2:7" ht="12.75">
      <c r="B100" s="107"/>
      <c r="C100" s="19"/>
      <c r="D100" s="19"/>
      <c r="F100" s="19"/>
      <c r="G100" s="19"/>
    </row>
    <row r="101" spans="1:7" ht="12.75">
      <c r="A101" s="30" t="s">
        <v>323</v>
      </c>
      <c r="B101" s="107"/>
      <c r="C101" s="19"/>
      <c r="D101" s="19"/>
      <c r="F101" s="19"/>
      <c r="G101" s="19"/>
    </row>
    <row r="102" spans="1:7" ht="12.75">
      <c r="A102" s="46" t="s">
        <v>330</v>
      </c>
      <c r="B102" s="164">
        <v>30</v>
      </c>
      <c r="C102" s="19" t="s">
        <v>324</v>
      </c>
      <c r="D102" s="19"/>
      <c r="F102" s="19"/>
      <c r="G102" s="19"/>
    </row>
    <row r="103" spans="1:7" ht="12.75">
      <c r="A103" s="46" t="s">
        <v>325</v>
      </c>
      <c r="B103" s="164">
        <v>180</v>
      </c>
      <c r="C103" s="19" t="s">
        <v>326</v>
      </c>
      <c r="D103" s="19"/>
      <c r="F103" s="19"/>
      <c r="G103" s="19"/>
    </row>
    <row r="104" spans="1:7" ht="12.75">
      <c r="A104" s="46" t="s">
        <v>328</v>
      </c>
      <c r="B104" s="164">
        <v>60</v>
      </c>
      <c r="C104" s="19" t="s">
        <v>326</v>
      </c>
      <c r="D104" s="19"/>
      <c r="F104" s="19"/>
      <c r="G104" s="19"/>
    </row>
    <row r="105" spans="1:7" ht="12.75">
      <c r="A105" s="46" t="s">
        <v>329</v>
      </c>
      <c r="B105" s="164">
        <v>0.1</v>
      </c>
      <c r="C105" s="19" t="s">
        <v>327</v>
      </c>
      <c r="D105" s="19"/>
      <c r="F105" s="19"/>
      <c r="G105" s="19"/>
    </row>
    <row r="106" spans="6:7" ht="12.75">
      <c r="F106" s="19"/>
      <c r="G106" s="19"/>
    </row>
    <row r="107" spans="1:7" ht="12.75">
      <c r="A107" s="30" t="s">
        <v>317</v>
      </c>
      <c r="E107" s="19"/>
      <c r="F107" s="19"/>
      <c r="G107" s="19"/>
    </row>
    <row r="108" spans="1:7" ht="12.75">
      <c r="A108" s="46" t="s">
        <v>318</v>
      </c>
      <c r="B108" s="163">
        <v>0.06</v>
      </c>
      <c r="C108" s="19" t="s">
        <v>231</v>
      </c>
      <c r="D108" s="19" t="s">
        <v>319</v>
      </c>
      <c r="E108" s="19"/>
      <c r="F108" s="19"/>
      <c r="G108" s="19"/>
    </row>
    <row r="109" spans="1:7" ht="12.75">
      <c r="A109" s="46" t="s">
        <v>320</v>
      </c>
      <c r="B109" s="163">
        <v>0.15</v>
      </c>
      <c r="C109" s="19" t="s">
        <v>231</v>
      </c>
      <c r="D109" s="19" t="s">
        <v>321</v>
      </c>
      <c r="E109" s="19"/>
      <c r="F109" s="19"/>
      <c r="G109" s="19"/>
    </row>
    <row r="110" spans="1:4" ht="12.75">
      <c r="A110" s="46" t="s">
        <v>383</v>
      </c>
      <c r="B110" s="163">
        <v>0.5</v>
      </c>
      <c r="C110" s="19" t="s">
        <v>231</v>
      </c>
      <c r="D110" s="19" t="s">
        <v>387</v>
      </c>
    </row>
    <row r="112" ht="12.75">
      <c r="A112" s="30" t="s">
        <v>294</v>
      </c>
    </row>
    <row r="113" spans="1:4" ht="12.75">
      <c r="A113" s="46" t="s">
        <v>335</v>
      </c>
      <c r="B113" s="164">
        <v>500</v>
      </c>
      <c r="C113" t="s">
        <v>338</v>
      </c>
      <c r="D113" t="s">
        <v>384</v>
      </c>
    </row>
    <row r="114" spans="1:4" ht="12.75">
      <c r="A114" s="46" t="s">
        <v>337</v>
      </c>
      <c r="B114" s="164">
        <v>500</v>
      </c>
      <c r="C114" t="s">
        <v>338</v>
      </c>
      <c r="D114" t="s">
        <v>384</v>
      </c>
    </row>
    <row r="115" spans="1:4" ht="12.75">
      <c r="A115" s="46" t="s">
        <v>385</v>
      </c>
      <c r="B115" s="164">
        <v>50</v>
      </c>
      <c r="C115" t="s">
        <v>338</v>
      </c>
      <c r="D115" t="s">
        <v>390</v>
      </c>
    </row>
    <row r="116" spans="1:4" ht="12.75">
      <c r="A116" s="46" t="s">
        <v>386</v>
      </c>
      <c r="B116" s="164">
        <v>75</v>
      </c>
      <c r="C116" t="s">
        <v>338</v>
      </c>
      <c r="D116" t="s">
        <v>389</v>
      </c>
    </row>
    <row r="117" spans="1:4" ht="12.75">
      <c r="A117" s="46" t="s">
        <v>336</v>
      </c>
      <c r="B117" s="164">
        <v>100</v>
      </c>
      <c r="C117" t="s">
        <v>338</v>
      </c>
      <c r="D117" t="s">
        <v>391</v>
      </c>
    </row>
    <row r="118" spans="1:4" ht="12.75">
      <c r="A118" s="46" t="s">
        <v>38</v>
      </c>
      <c r="B118" s="164">
        <v>500</v>
      </c>
      <c r="C118" t="s">
        <v>338</v>
      </c>
      <c r="D118" t="s">
        <v>384</v>
      </c>
    </row>
    <row r="123" ht="12.75">
      <c r="A123" s="30" t="s">
        <v>156</v>
      </c>
    </row>
    <row r="124" spans="2:11" ht="25.5" customHeight="1">
      <c r="B124">
        <v>1</v>
      </c>
      <c r="C124" s="185" t="s">
        <v>282</v>
      </c>
      <c r="D124" s="176"/>
      <c r="E124" s="176"/>
      <c r="F124" s="176"/>
      <c r="G124" s="176"/>
      <c r="H124" s="176"/>
      <c r="I124" s="176"/>
      <c r="J124" s="176"/>
      <c r="K124" s="176"/>
    </row>
    <row r="125" spans="2:11" ht="25.5" customHeight="1">
      <c r="B125">
        <v>2</v>
      </c>
      <c r="C125" s="185" t="s">
        <v>157</v>
      </c>
      <c r="D125" s="176"/>
      <c r="E125" s="176"/>
      <c r="F125" s="176"/>
      <c r="G125" s="176"/>
      <c r="H125" s="176"/>
      <c r="I125" s="176"/>
      <c r="J125" s="176"/>
      <c r="K125" s="176"/>
    </row>
    <row r="126" spans="2:11" ht="25.5" customHeight="1">
      <c r="B126">
        <v>3</v>
      </c>
      <c r="C126" s="185" t="s">
        <v>202</v>
      </c>
      <c r="D126" s="176"/>
      <c r="E126" s="176"/>
      <c r="F126" s="176"/>
      <c r="G126" s="176"/>
      <c r="H126" s="176"/>
      <c r="I126" s="176"/>
      <c r="J126" s="176"/>
      <c r="K126" s="176"/>
    </row>
    <row r="127" spans="2:11" ht="25.5" customHeight="1">
      <c r="B127">
        <v>4</v>
      </c>
      <c r="C127" s="185" t="s">
        <v>161</v>
      </c>
      <c r="D127" s="176"/>
      <c r="E127" s="176"/>
      <c r="F127" s="176"/>
      <c r="G127" s="176"/>
      <c r="H127" s="176"/>
      <c r="I127" s="176"/>
      <c r="J127" s="176"/>
      <c r="K127" s="176"/>
    </row>
    <row r="128" spans="2:11" ht="25.5" customHeight="1">
      <c r="B128">
        <v>5</v>
      </c>
      <c r="C128" s="185" t="s">
        <v>283</v>
      </c>
      <c r="D128" s="176"/>
      <c r="E128" s="176"/>
      <c r="F128" s="176"/>
      <c r="G128" s="176"/>
      <c r="H128" s="176"/>
      <c r="I128" s="176"/>
      <c r="J128" s="176"/>
      <c r="K128" s="176"/>
    </row>
    <row r="129" spans="2:11" ht="25.5" customHeight="1">
      <c r="B129">
        <v>6</v>
      </c>
      <c r="C129" s="185" t="s">
        <v>203</v>
      </c>
      <c r="D129" s="176"/>
      <c r="E129" s="176"/>
      <c r="F129" s="176"/>
      <c r="G129" s="176"/>
      <c r="H129" s="176"/>
      <c r="I129" s="176"/>
      <c r="J129" s="176"/>
      <c r="K129" s="176"/>
    </row>
    <row r="130" spans="2:11" ht="25.5" customHeight="1">
      <c r="B130">
        <v>7</v>
      </c>
      <c r="C130" s="185" t="s">
        <v>341</v>
      </c>
      <c r="D130" s="176"/>
      <c r="E130" s="176"/>
      <c r="F130" s="176"/>
      <c r="G130" s="176"/>
      <c r="H130" s="176"/>
      <c r="I130" s="176"/>
      <c r="J130" s="176"/>
      <c r="K130" s="176"/>
    </row>
    <row r="133" ht="12.75">
      <c r="A133" s="30" t="s">
        <v>158</v>
      </c>
    </row>
    <row r="135" spans="1:2" ht="12.75">
      <c r="A135" s="46" t="s">
        <v>160</v>
      </c>
      <c r="B135" s="46" t="s">
        <v>159</v>
      </c>
    </row>
    <row r="136" spans="1:2" ht="12.75">
      <c r="A136" s="46">
        <v>1</v>
      </c>
      <c r="B136">
        <f>0.019*A136^2-2.6371*A136+197.2</f>
        <v>194.5819</v>
      </c>
    </row>
    <row r="137" spans="1:2" ht="12.75">
      <c r="A137" s="46">
        <v>2</v>
      </c>
      <c r="B137">
        <f aca="true" t="shared" si="5" ref="B137:B144">0.019*A137^2-2.6371*A137+197.2</f>
        <v>192.00179999999997</v>
      </c>
    </row>
    <row r="138" spans="1:2" ht="12.75">
      <c r="A138" s="46">
        <v>5</v>
      </c>
      <c r="B138">
        <f t="shared" si="5"/>
        <v>184.4895</v>
      </c>
    </row>
    <row r="139" spans="1:2" ht="12.75">
      <c r="A139" s="46">
        <v>10</v>
      </c>
      <c r="B139">
        <f t="shared" si="5"/>
        <v>172.72899999999998</v>
      </c>
    </row>
    <row r="140" spans="1:2" ht="12.75">
      <c r="A140" s="46">
        <v>20</v>
      </c>
      <c r="B140">
        <f t="shared" si="5"/>
        <v>152.058</v>
      </c>
    </row>
    <row r="141" spans="1:2" ht="12.75">
      <c r="A141" s="46">
        <v>40</v>
      </c>
      <c r="B141">
        <f t="shared" si="5"/>
        <v>122.11599999999999</v>
      </c>
    </row>
    <row r="142" spans="1:2" ht="12.75">
      <c r="A142" s="46">
        <v>60</v>
      </c>
      <c r="B142">
        <f t="shared" si="5"/>
        <v>107.37399999999998</v>
      </c>
    </row>
    <row r="143" spans="1:2" ht="12.75">
      <c r="A143" s="46">
        <v>80</v>
      </c>
      <c r="B143">
        <f t="shared" si="5"/>
        <v>107.83199999999997</v>
      </c>
    </row>
    <row r="144" spans="1:2" ht="12.75">
      <c r="A144" s="46">
        <v>90</v>
      </c>
      <c r="B144">
        <f t="shared" si="5"/>
        <v>113.76099999999997</v>
      </c>
    </row>
    <row r="148" ht="12.75">
      <c r="A148" s="30" t="s">
        <v>204</v>
      </c>
    </row>
    <row r="149" spans="1:2" ht="12.75">
      <c r="A149" s="46" t="s">
        <v>160</v>
      </c>
      <c r="B149" s="46" t="s">
        <v>159</v>
      </c>
    </row>
    <row r="150" spans="1:2" ht="12.75">
      <c r="A150" s="63">
        <v>0.01</v>
      </c>
      <c r="B150" s="9">
        <f>18.94/A150</f>
        <v>1894</v>
      </c>
    </row>
    <row r="151" spans="1:2" ht="12.75">
      <c r="A151" s="63">
        <v>0.02</v>
      </c>
      <c r="B151" s="9">
        <f aca="true" t="shared" si="6" ref="B151:B158">18.94/A151</f>
        <v>947</v>
      </c>
    </row>
    <row r="152" spans="1:2" ht="12.75">
      <c r="A152" s="63">
        <v>0.05</v>
      </c>
      <c r="B152" s="9">
        <f t="shared" si="6"/>
        <v>378.8</v>
      </c>
    </row>
    <row r="153" spans="1:2" ht="12.75">
      <c r="A153" s="63">
        <v>0.1</v>
      </c>
      <c r="B153" s="9">
        <f t="shared" si="6"/>
        <v>189.4</v>
      </c>
    </row>
    <row r="154" spans="1:2" ht="12.75">
      <c r="A154" s="63">
        <v>0.2</v>
      </c>
      <c r="B154" s="9">
        <f t="shared" si="6"/>
        <v>94.7</v>
      </c>
    </row>
    <row r="155" spans="1:2" ht="12.75">
      <c r="A155" s="63">
        <v>0.4</v>
      </c>
      <c r="B155" s="9">
        <f t="shared" si="6"/>
        <v>47.35</v>
      </c>
    </row>
    <row r="156" spans="1:2" ht="12.75">
      <c r="A156" s="63">
        <v>0.6</v>
      </c>
      <c r="B156" s="9">
        <f t="shared" si="6"/>
        <v>31.56666666666667</v>
      </c>
    </row>
    <row r="157" spans="1:2" ht="12.75">
      <c r="A157" s="63">
        <v>0.8</v>
      </c>
      <c r="B157" s="9">
        <f t="shared" si="6"/>
        <v>23.675</v>
      </c>
    </row>
    <row r="158" spans="1:2" ht="12.75">
      <c r="A158" s="63">
        <v>0.9</v>
      </c>
      <c r="B158" s="9">
        <f t="shared" si="6"/>
        <v>21.044444444444444</v>
      </c>
    </row>
  </sheetData>
  <sheetProtection sheet="1" objects="1" scenarios="1"/>
  <mergeCells count="9">
    <mergeCell ref="D80:K80"/>
    <mergeCell ref="D88:K88"/>
    <mergeCell ref="C124:K124"/>
    <mergeCell ref="C129:K129"/>
    <mergeCell ref="C130:K130"/>
    <mergeCell ref="C125:K125"/>
    <mergeCell ref="C126:K126"/>
    <mergeCell ref="C127:K127"/>
    <mergeCell ref="C128:K128"/>
  </mergeCells>
  <printOptions/>
  <pageMargins left="0.75" right="0.75" top="1" bottom="1" header="0.5" footer="0.5"/>
  <pageSetup fitToHeight="6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Corrpro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Lydia</cp:lastModifiedBy>
  <cp:lastPrinted>2001-12-03T23:39:44Z</cp:lastPrinted>
  <dcterms:created xsi:type="dcterms:W3CDTF">1998-08-31T12:25:44Z</dcterms:created>
  <dcterms:modified xsi:type="dcterms:W3CDTF">2015-07-08T22:21:08Z</dcterms:modified>
  <cp:category/>
  <cp:version/>
  <cp:contentType/>
  <cp:contentStatus/>
</cp:coreProperties>
</file>